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7230" activeTab="0"/>
  </bookViews>
  <sheets>
    <sheet name="Press Release" sheetId="1" r:id="rId1"/>
    <sheet name="BSE-BS"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a">'[3]incomeYTD'!#REF!</definedName>
    <definedName name="Add_Manpower">#REF!</definedName>
    <definedName name="Annex_1.1">#REF!</definedName>
    <definedName name="Annex_1.2">#REF!</definedName>
    <definedName name="C.01">#REF!</definedName>
    <definedName name="C.02">#REF!</definedName>
    <definedName name="C.03">#REF!</definedName>
    <definedName name="C.04">#REF!</definedName>
    <definedName name="Dep.calculation">#REF!</definedName>
    <definedName name="Explnations">#REF!</definedName>
    <definedName name="GAannexii">#REF!</definedName>
    <definedName name="GAi">#REF!</definedName>
    <definedName name="GAII">#REF!</definedName>
    <definedName name="GAIII">#REF!</definedName>
    <definedName name="hi">#REF!</definedName>
    <definedName name="Matar">#REF!</definedName>
    <definedName name="mul">'[5]Q-Mtr'!#REF!</definedName>
    <definedName name="Multcmy">#REF!</definedName>
    <definedName name="Multmtr">'[5]Q-Mtr'!#REF!</definedName>
    <definedName name="PL_Statement">#REF!</definedName>
    <definedName name="_xlnm.Print_Area" localSheetId="1">'BSE-BS'!$A$1:$F$39</definedName>
    <definedName name="_xlnm.Print_Area" localSheetId="0">'Press Release'!$A$1:$S$73</definedName>
    <definedName name="Prodexps">#REF!</definedName>
    <definedName name="Productionexpense">#REF!</definedName>
    <definedName name="Productionpage1">#REF!</definedName>
    <definedName name="Productionpage2">#REF!</definedName>
    <definedName name="Prof_Loss">#REF!</definedName>
    <definedName name="Sabarmati">#REF!</definedName>
    <definedName name="Sched_13">#REF!</definedName>
    <definedName name="Schedule1_6">#REF!</definedName>
    <definedName name="Schedule1_8">#REF!</definedName>
    <definedName name="Schedule1to7">#REF!</definedName>
    <definedName name="schedule8to12">#REF!</definedName>
    <definedName name="Schedule9_13">#REF!</definedName>
    <definedName name="Service_Exp">#REF!</definedName>
    <definedName name="Serviceexpense">#REF!</definedName>
    <definedName name="Serviceexplain">#REF!</definedName>
    <definedName name="VTM_1" hidden="1">#REF!</definedName>
    <definedName name="VTM_10" hidden="1">#REF!</definedName>
    <definedName name="VTM_11" hidden="1">#REF!</definedName>
    <definedName name="VTM_12" hidden="1">#REF!</definedName>
    <definedName name="VTM_13" hidden="1">#REF!</definedName>
    <definedName name="VTM_14" hidden="1">#REF!</definedName>
    <definedName name="VTM_15" hidden="1">#REF!</definedName>
    <definedName name="VTM_16" hidden="1">#REF!</definedName>
    <definedName name="VTM_17" hidden="1">#REF!,#REF!</definedName>
    <definedName name="VTM_18" hidden="1">'[7]3 month'!$D$19:$E$19,'[7]3 month'!$F$10</definedName>
    <definedName name="VTM_2" hidden="1">#REF!</definedName>
    <definedName name="VTM_3" hidden="1">#REF!</definedName>
    <definedName name="VTM_34" hidden="1">'[8]Rent Logic test'!$G$19,'[8]Rent Logic test'!$G$25,'[8]Rent Logic test'!$G$30,'[8]Rent Logic test'!$G$36,'[8]Rent Logic test'!$G$41,'[8]Rent Logic test'!$G$47,'[8]Rent Logic test'!$G$53,'[8]Rent Logic test'!$G$59</definedName>
    <definedName name="VTM_4" hidden="1">#REF!</definedName>
    <definedName name="VTM_40" hidden="1">'[8]Amenities Logic Test'!$G$21,'[8]Amenities Logic Test'!$G$27,'[8]Amenities Logic Test'!$G$32,'[8]Amenities Logic Test'!$G$37,'[8]Amenities Logic Test'!$G$43,'[8]Amenities Logic Test'!$G$48</definedName>
    <definedName name="VTM_5" hidden="1">'[7]3 month'!#REF!</definedName>
    <definedName name="VTM_6" hidden="1">'[7]3 month'!#REF!</definedName>
  </definedNames>
  <calcPr fullCalcOnLoad="1"/>
</workbook>
</file>

<file path=xl/sharedStrings.xml><?xml version="1.0" encoding="utf-8"?>
<sst xmlns="http://schemas.openxmlformats.org/spreadsheetml/2006/main" count="220" uniqueCount="150">
  <si>
    <t>MUKTA ARTS LTD.</t>
  </si>
  <si>
    <t>Regd. Office: Mukta House, Behind Whistling Woods Institute, Film City Complex, Goregaon (E), Mumbai-400 065</t>
  </si>
  <si>
    <t>AUDITED FINANCIAL RESULTS FOR YEAR ENDED  31st March, 2011</t>
  </si>
  <si>
    <t>Segment - wise Revenue, Results and Capital Employed</t>
  </si>
  <si>
    <t xml:space="preserve">                        (Rs in Lacs except per share data)</t>
  </si>
  <si>
    <t xml:space="preserve">Consolidated </t>
  </si>
  <si>
    <t xml:space="preserve">                                 (Rs.in Lacs.)</t>
  </si>
  <si>
    <t>Corresponding</t>
  </si>
  <si>
    <t>Previous</t>
  </si>
  <si>
    <t>3 months</t>
  </si>
  <si>
    <t>3 months in the</t>
  </si>
  <si>
    <t>12 months</t>
  </si>
  <si>
    <t>Prev. Year</t>
  </si>
  <si>
    <t>Quarter ended</t>
  </si>
  <si>
    <t>Period ended</t>
  </si>
  <si>
    <t>Consolidated</t>
  </si>
  <si>
    <t>ended</t>
  </si>
  <si>
    <t>previous year</t>
  </si>
  <si>
    <t>30.06.2003</t>
  </si>
  <si>
    <t>31.03.2003</t>
  </si>
  <si>
    <t>Year ended</t>
  </si>
  <si>
    <t>S.NO.</t>
  </si>
  <si>
    <t>Particulars</t>
  </si>
  <si>
    <t>S.No</t>
  </si>
  <si>
    <t>PARTICULARS</t>
  </si>
  <si>
    <t>31.03.2011</t>
  </si>
  <si>
    <t>31.03.2010</t>
  </si>
  <si>
    <t>Unaudited</t>
  </si>
  <si>
    <t>Audited</t>
  </si>
  <si>
    <t>(a) Net Sales / Income from Operations</t>
  </si>
  <si>
    <t>SEGMENT REVENUE</t>
  </si>
  <si>
    <t>(b) Other operating Income</t>
  </si>
  <si>
    <t xml:space="preserve">Software Division </t>
  </si>
  <si>
    <t>(c) Total operating income</t>
  </si>
  <si>
    <t>Equipment Division</t>
  </si>
  <si>
    <t>Expenditure</t>
  </si>
  <si>
    <t>Fees from students</t>
  </si>
  <si>
    <t xml:space="preserve">  a) Cost of Distribn./Worldrights-Software etc.</t>
  </si>
  <si>
    <t>Others</t>
  </si>
  <si>
    <t xml:space="preserve">  b) Employees Cost</t>
  </si>
  <si>
    <t>Total</t>
  </si>
  <si>
    <t xml:space="preserve">  c) Amortisation of intangible (Films rights) (refer Note 3)</t>
  </si>
  <si>
    <t xml:space="preserve">  d) Depreciation</t>
  </si>
  <si>
    <t>Less: Inter Segment Revenue</t>
  </si>
  <si>
    <t xml:space="preserve">  e) Other expenditure</t>
  </si>
  <si>
    <t>Net Sales/Income From Operation</t>
  </si>
  <si>
    <t xml:space="preserve">  f) Total expenditure</t>
  </si>
  <si>
    <t>Profit from Operations before Other Income, Interest</t>
  </si>
  <si>
    <t>SEGMENT RESULTS</t>
  </si>
  <si>
    <t xml:space="preserve">  and Exceptional Items (1-2)</t>
  </si>
  <si>
    <t>Profit/(Loss) before Tax and Interest</t>
  </si>
  <si>
    <t>Other Income (refer Note 5)</t>
  </si>
  <si>
    <t>from each Segment</t>
  </si>
  <si>
    <t>Profit before Interest and Exceptional Items (3+4)</t>
  </si>
  <si>
    <t xml:space="preserve">Interest </t>
  </si>
  <si>
    <t>Profit after Interest but before Exceptional Items (5-6)</t>
  </si>
  <si>
    <t>Exceptional Items</t>
  </si>
  <si>
    <t>Profit/(Loss) from Ordinary Activities Before Tax</t>
  </si>
  <si>
    <t>Tax Expenses (including deferred tax) (refer Note 6)</t>
  </si>
  <si>
    <t>Net Profit/(Loss) from Ordinary Activities After Tax</t>
  </si>
  <si>
    <t>Less: Interest</t>
  </si>
  <si>
    <t>Extraordinary Items (net of tax expenses)</t>
  </si>
  <si>
    <t>Net Profit/(Loss) for the period before minority interest</t>
  </si>
  <si>
    <t>Minority Interest for earlier years (charge)/credit</t>
  </si>
  <si>
    <t>Total Profit/(Loss) Before Tax</t>
  </si>
  <si>
    <t>Minority Interest for current year (charge)/credit</t>
  </si>
  <si>
    <t xml:space="preserve">Net Profit/(Loss) after tax for the period  </t>
  </si>
  <si>
    <t>CAPITAL EMPLOYED</t>
  </si>
  <si>
    <t>Paid up Equity Share Capital (Face Value of Rs. 5/- each)</t>
  </si>
  <si>
    <t>(Segment assets - Segment Liabilities)</t>
  </si>
  <si>
    <t xml:space="preserve"> Software Division </t>
  </si>
  <si>
    <t>Reserves excluding Revaluation Reserves</t>
  </si>
  <si>
    <t xml:space="preserve"> Equipment Division</t>
  </si>
  <si>
    <t>Earning Per Share (EPS)</t>
  </si>
  <si>
    <t>Basic and diluted</t>
  </si>
  <si>
    <t>Public Shareholding</t>
  </si>
  <si>
    <t>Unallocable</t>
  </si>
  <si>
    <t>a) Number of Shares</t>
  </si>
  <si>
    <t>b) Percentage of Shareholding</t>
  </si>
  <si>
    <t>Promoter and promoter group shareholding</t>
  </si>
  <si>
    <t>a) Pledge / Encumbered</t>
  </si>
  <si>
    <t>i) Number of Shares</t>
  </si>
  <si>
    <t xml:space="preserve">ii) % of Shareholding (as a % of the total shareholding of </t>
  </si>
  <si>
    <t xml:space="preserve">      promoter and promoter group)</t>
  </si>
  <si>
    <t>iii) % of Shareholding (as a % of the total share capital of</t>
  </si>
  <si>
    <t xml:space="preserve">     the Company)</t>
  </si>
  <si>
    <t>b) Non Encumbered</t>
  </si>
  <si>
    <t>NOTES:</t>
  </si>
  <si>
    <t>Information on investor complaints for the quarter (Nos): Opening balance -0, New – 0, Disposal –0, Closing balance – 0.</t>
  </si>
  <si>
    <t xml:space="preserve">Movie rights and films under production which were hitherto classified as Inventories have been classified as Intangibles and correspondingly Cost of production charged off has been classified as Amortisation of Intangibles (Film rights).     </t>
  </si>
  <si>
    <t>The managerial remuneration paid to the whole time director for the period 1 April 2010 to 31 March 2011  is in excess of the limits prescribed under Section 198 of the Act.  The Company has made an application to the Central Government seeking post-fact approval, which is awaited. Approvals for earlier years are also awaited. The auditors have modified their audit report on this account. Further in respect of consolidated accounts, their report is modified also on account of tax matter under dispute relating to a subsidiary.</t>
  </si>
  <si>
    <t>During the year, the Company recognized Rs. 847 Lacs being profit on redevelopment of property (possession obtained during the year) pursuant to agreement entered into on 20-01-2006.</t>
  </si>
  <si>
    <t>Tax expense includes charge of Rs. 112.11 Lacs pertaining to earlier years.</t>
  </si>
  <si>
    <t xml:space="preserve">Figures for the previous quarter/ period have been regrouped/ rearranged to conform to current quarter /period presentation. </t>
  </si>
  <si>
    <t xml:space="preserve">Date </t>
  </si>
  <si>
    <t>27-05-2011</t>
  </si>
  <si>
    <t>Subhash Ghai</t>
  </si>
  <si>
    <t>Place</t>
  </si>
  <si>
    <t>: Mumbai</t>
  </si>
  <si>
    <t>Chairman &amp; Managing Director</t>
  </si>
  <si>
    <t>MUKTA ARTS LIMITED</t>
  </si>
  <si>
    <t xml:space="preserve">AUDITED STATEMENT OF ASSETS AND LIABILITIES AS AT 31ST MARCH 2011 </t>
  </si>
  <si>
    <t>(Rs. in Lacs)</t>
  </si>
  <si>
    <t>STANDALONE</t>
  </si>
  <si>
    <t>CONSOLIDATED</t>
  </si>
  <si>
    <t>31 March</t>
  </si>
  <si>
    <t>(A)</t>
  </si>
  <si>
    <t>SOURCES OF FUNDS</t>
  </si>
  <si>
    <t>1)</t>
  </si>
  <si>
    <t>Shareholders' Funds</t>
  </si>
  <si>
    <t>a)</t>
  </si>
  <si>
    <t>Share Capital</t>
  </si>
  <si>
    <t>b)</t>
  </si>
  <si>
    <t>Reserve and Surplus</t>
  </si>
  <si>
    <t>c)</t>
  </si>
  <si>
    <t>Minority Interest</t>
  </si>
  <si>
    <t>2)</t>
  </si>
  <si>
    <t>Loan funds</t>
  </si>
  <si>
    <t>Secured</t>
  </si>
  <si>
    <t>Unsecured</t>
  </si>
  <si>
    <t>3)</t>
  </si>
  <si>
    <t>Deferred Tax Liability (Net)</t>
  </si>
  <si>
    <t>4)</t>
  </si>
  <si>
    <t>TOTAL</t>
  </si>
  <si>
    <t>(B)</t>
  </si>
  <si>
    <t>APPLICATION OF FUNDS</t>
  </si>
  <si>
    <t xml:space="preserve">Fixed Assets (including intangible assets) (Net)  </t>
  </si>
  <si>
    <t>Investments</t>
  </si>
  <si>
    <t>Current assets, Loans and Advances</t>
  </si>
  <si>
    <t>Inventories (refer Note 3)</t>
  </si>
  <si>
    <t>Sundry Debtors</t>
  </si>
  <si>
    <t>Cash and Bank Balances</t>
  </si>
  <si>
    <t>d)</t>
  </si>
  <si>
    <t>Other Current Assets</t>
  </si>
  <si>
    <t>e)</t>
  </si>
  <si>
    <t>Loans and Advances</t>
  </si>
  <si>
    <t>Less : Current Liabilities and Provisions</t>
  </si>
  <si>
    <t>Current Liabilities</t>
  </si>
  <si>
    <t>Provisions</t>
  </si>
  <si>
    <t>Net Current Assets</t>
  </si>
  <si>
    <t>5)</t>
  </si>
  <si>
    <t>Profit and Loss Account</t>
  </si>
  <si>
    <t>6)</t>
  </si>
  <si>
    <t xml:space="preserve">Misc. Expenditure not written off </t>
  </si>
  <si>
    <t>7)</t>
  </si>
  <si>
    <t>For Mukta Arts Limited</t>
  </si>
  <si>
    <t>For and behalf of the Board of Director</t>
  </si>
  <si>
    <t xml:space="preserve">The above audited financial results have been reviewed by the audit committee and approved by the Board of Directors at the meeting held on 27 May 2011.  </t>
  </si>
  <si>
    <t xml:space="preserve">          Other unallocable expenditure-</t>
  </si>
  <si>
    <t xml:space="preserve">           -Net of unallocable income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</si>
</sst>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quot;£&quot;#,##0;\-&quot;£&quot;#,##0"/>
    <numFmt numFmtId="167" formatCode="&quot;INR&quot;#,##0_);\(&quot;INR&quot;#,##0\)"/>
    <numFmt numFmtId="168" formatCode="0.00_)"/>
    <numFmt numFmtId="169" formatCode="_([$€]* #,##0.00_);_([$€]* \(#,##0.00\);_([$€]* &quot;-&quot;??_);_(@_)"/>
    <numFmt numFmtId="170" formatCode="#,##0\ &quot;F&quot;;[Red]\-#,##0\ &quot;F&quot;"/>
    <numFmt numFmtId="171" formatCode="#,##0.00\ &quot;F&quot;;[Red]\-#,##0.00\ &quot;F&quot;"/>
    <numFmt numFmtId="172" formatCode="&quot;INR&quot;#,###,###.00"/>
    <numFmt numFmtId="173" formatCode="_(&quot;Rs.&quot;* #,##0_);_(&quot;Rs.&quot;* \(#,##0\);_(&quot;Rs.&quot;* &quot;-&quot;_);_(@_)"/>
    <numFmt numFmtId="174" formatCode="_(&quot;INR&quot;* #,##0.00_);_(&quot;INR&quot;* \(#,##0.00\);_(&quot;INR&quot;* &quot;-&quot;??_);_(@_)"/>
    <numFmt numFmtId="175" formatCode="_(&quot;INR&quot;* #,##0_);_(&quot;INR&quot;* \(#,##0\);_(&quot;INR&quot;* &quot;-&quot;_);_(@_)"/>
  </numFmts>
  <fonts count="64">
    <font>
      <sz val="10"/>
      <name val="Arial"/>
      <family val="0"/>
    </font>
    <font>
      <sz val="11"/>
      <color indexed="8"/>
      <name val="Calibri"/>
      <family val="2"/>
    </font>
    <font>
      <sz val="10"/>
      <name val="Book Antiqua"/>
      <family val="1"/>
    </font>
    <font>
      <b/>
      <sz val="10"/>
      <name val="Book Antiqua"/>
      <family val="1"/>
    </font>
    <font>
      <sz val="14"/>
      <name val="Book Antiqua"/>
      <family val="1"/>
    </font>
    <font>
      <b/>
      <sz val="14"/>
      <name val="Book Antiqua"/>
      <family val="1"/>
    </font>
    <font>
      <b/>
      <sz val="12"/>
      <name val="Book Antiqua"/>
      <family val="1"/>
    </font>
    <font>
      <b/>
      <i/>
      <sz val="11"/>
      <name val="Book Antiqua"/>
      <family val="1"/>
    </font>
    <font>
      <b/>
      <sz val="11"/>
      <name val="Book Antiqua"/>
      <family val="1"/>
    </font>
    <font>
      <sz val="11"/>
      <name val="Book Antiqua"/>
      <family val="1"/>
    </font>
    <font>
      <b/>
      <sz val="11"/>
      <name val="Times New Roman"/>
      <family val="1"/>
    </font>
    <font>
      <sz val="11"/>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Helv"/>
      <family val="0"/>
    </font>
    <font>
      <sz val="8"/>
      <name val="Arial"/>
      <family val="2"/>
    </font>
    <font>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1"/>
      <color indexed="60"/>
      <name val="Calibri"/>
      <family val="2"/>
    </font>
    <font>
      <b/>
      <i/>
      <sz val="16"/>
      <name val="Helv"/>
      <family val="0"/>
    </font>
    <font>
      <sz val="10"/>
      <name val="Verdan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b/>
      <sz val="14"/>
      <name val="Times New Roman"/>
      <family val="1"/>
    </font>
    <font>
      <sz val="9"/>
      <color indexed="8"/>
      <name val="Times New Roman"/>
      <family val="2"/>
    </font>
    <font>
      <sz val="10"/>
      <color indexed="8"/>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9"/>
      <color theme="1"/>
      <name val="Times New Roman"/>
      <family val="2"/>
    </font>
    <font>
      <sz val="10"/>
      <color theme="1"/>
      <name val="Arial"/>
      <family val="2"/>
    </font>
    <font>
      <sz val="11"/>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s>
  <cellStyleXfs count="29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13" fillId="25" borderId="0" applyNumberFormat="0" applyBorder="0" applyAlignment="0" applyProtection="0"/>
    <xf numFmtId="0" fontId="44" fillId="26" borderId="0" applyNumberFormat="0" applyBorder="0" applyAlignment="0" applyProtection="0"/>
    <xf numFmtId="0" fontId="13" fillId="17" borderId="0" applyNumberFormat="0" applyBorder="0" applyAlignment="0" applyProtection="0"/>
    <xf numFmtId="0" fontId="44" fillId="27" borderId="0" applyNumberFormat="0" applyBorder="0" applyAlignment="0" applyProtection="0"/>
    <xf numFmtId="0" fontId="13" fillId="19" borderId="0" applyNumberFormat="0" applyBorder="0" applyAlignment="0" applyProtection="0"/>
    <xf numFmtId="0" fontId="44" fillId="28" borderId="0" applyNumberFormat="0" applyBorder="0" applyAlignment="0" applyProtection="0"/>
    <xf numFmtId="0" fontId="13" fillId="29" borderId="0" applyNumberFormat="0" applyBorder="0" applyAlignment="0" applyProtection="0"/>
    <xf numFmtId="0" fontId="44" fillId="30" borderId="0" applyNumberFormat="0" applyBorder="0" applyAlignment="0" applyProtection="0"/>
    <xf numFmtId="0" fontId="13" fillId="31" borderId="0" applyNumberFormat="0" applyBorder="0" applyAlignment="0" applyProtection="0"/>
    <xf numFmtId="0" fontId="44" fillId="32" borderId="0" applyNumberFormat="0" applyBorder="0" applyAlignment="0" applyProtection="0"/>
    <xf numFmtId="0" fontId="13" fillId="33" borderId="0" applyNumberFormat="0" applyBorder="0" applyAlignment="0" applyProtection="0"/>
    <xf numFmtId="0" fontId="44" fillId="34" borderId="0" applyNumberFormat="0" applyBorder="0" applyAlignment="0" applyProtection="0"/>
    <xf numFmtId="0" fontId="13" fillId="35" borderId="0" applyNumberFormat="0" applyBorder="0" applyAlignment="0" applyProtection="0"/>
    <xf numFmtId="0" fontId="44" fillId="3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13" fillId="39" borderId="0" applyNumberFormat="0" applyBorder="0" applyAlignment="0" applyProtection="0"/>
    <xf numFmtId="0" fontId="44" fillId="40" borderId="0" applyNumberFormat="0" applyBorder="0" applyAlignment="0" applyProtection="0"/>
    <xf numFmtId="0" fontId="13" fillId="29" borderId="0" applyNumberFormat="0" applyBorder="0" applyAlignment="0" applyProtection="0"/>
    <xf numFmtId="0" fontId="44" fillId="41" borderId="0" applyNumberFormat="0" applyBorder="0" applyAlignment="0" applyProtection="0"/>
    <xf numFmtId="0" fontId="13" fillId="31" borderId="0" applyNumberFormat="0" applyBorder="0" applyAlignment="0" applyProtection="0"/>
    <xf numFmtId="0" fontId="44" fillId="42" borderId="0" applyNumberFormat="0" applyBorder="0" applyAlignment="0" applyProtection="0"/>
    <xf numFmtId="0" fontId="13" fillId="43" borderId="0" applyNumberFormat="0" applyBorder="0" applyAlignment="0" applyProtection="0"/>
    <xf numFmtId="0" fontId="45" fillId="44" borderId="0" applyNumberFormat="0" applyBorder="0" applyAlignment="0" applyProtection="0"/>
    <xf numFmtId="0" fontId="14" fillId="5" borderId="0" applyNumberFormat="0" applyBorder="0" applyAlignment="0" applyProtection="0"/>
    <xf numFmtId="0" fontId="46" fillId="45" borderId="1" applyNumberFormat="0" applyAlignment="0" applyProtection="0"/>
    <xf numFmtId="0" fontId="15" fillId="46" borderId="2" applyNumberFormat="0" applyAlignment="0" applyProtection="0"/>
    <xf numFmtId="0" fontId="47" fillId="47" borderId="3" applyNumberFormat="0" applyAlignment="0" applyProtection="0"/>
    <xf numFmtId="0" fontId="16" fillId="48" borderId="4" applyNumberFormat="0" applyAlignment="0" applyProtection="0"/>
    <xf numFmtId="43" fontId="43" fillId="0" borderId="0" applyFon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41" fontId="43" fillId="0" borderId="0" applyFont="0" applyFill="0" applyBorder="0" applyAlignment="0" applyProtection="0"/>
    <xf numFmtId="165" fontId="48"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5"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49"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43" fillId="0" borderId="0" applyFont="0" applyFill="0" applyBorder="0" applyAlignment="0" applyProtection="0"/>
    <xf numFmtId="42" fontId="43" fillId="0" borderId="0" applyFont="0" applyFill="0" applyBorder="0" applyAlignment="0" applyProtection="0"/>
    <xf numFmtId="16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68" fontId="0" fillId="0" borderId="0">
      <alignment/>
      <protection/>
    </xf>
    <xf numFmtId="38" fontId="19" fillId="0" borderId="0" applyFont="0" applyFill="0" applyBorder="0" applyAlignment="0" applyProtection="0"/>
    <xf numFmtId="40" fontId="19" fillId="0" borderId="0" applyFont="0" applyFill="0" applyBorder="0" applyAlignment="0" applyProtection="0"/>
    <xf numFmtId="169" fontId="0" fillId="0" borderId="0" applyFon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49" borderId="0" applyNumberFormat="0" applyBorder="0" applyAlignment="0" applyProtection="0"/>
    <xf numFmtId="0" fontId="21" fillId="7" borderId="0" applyNumberFormat="0" applyBorder="0" applyAlignment="0" applyProtection="0"/>
    <xf numFmtId="0" fontId="53" fillId="0" borderId="5" applyNumberFormat="0" applyFill="0" applyAlignment="0" applyProtection="0"/>
    <xf numFmtId="0" fontId="22" fillId="0" borderId="6" applyNumberFormat="0" applyFill="0" applyAlignment="0" applyProtection="0"/>
    <xf numFmtId="0" fontId="54" fillId="0" borderId="7" applyNumberFormat="0" applyFill="0" applyAlignment="0" applyProtection="0"/>
    <xf numFmtId="0" fontId="23" fillId="0" borderId="8" applyNumberFormat="0" applyFill="0" applyAlignment="0" applyProtection="0"/>
    <xf numFmtId="0" fontId="55" fillId="0" borderId="9" applyNumberFormat="0" applyFill="0" applyAlignment="0" applyProtection="0"/>
    <xf numFmtId="0" fontId="24" fillId="0" borderId="10" applyNumberFormat="0" applyFill="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6" fillId="0" borderId="0" applyNumberFormat="0" applyFill="0" applyBorder="0" applyAlignment="0" applyProtection="0"/>
    <xf numFmtId="0" fontId="57" fillId="50" borderId="1" applyNumberFormat="0" applyAlignment="0" applyProtection="0"/>
    <xf numFmtId="0" fontId="25" fillId="13" borderId="2" applyNumberFormat="0" applyAlignment="0" applyProtection="0"/>
    <xf numFmtId="0" fontId="58" fillId="0" borderId="11" applyNumberFormat="0" applyFill="0" applyAlignment="0" applyProtection="0"/>
    <xf numFmtId="0" fontId="26" fillId="0" borderId="12" applyNumberFormat="0" applyFill="0" applyAlignment="0" applyProtection="0"/>
    <xf numFmtId="38" fontId="27" fillId="0" borderId="0" applyFont="0" applyFill="0" applyBorder="0" applyAlignment="0" applyProtection="0"/>
    <xf numFmtId="40"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0" fontId="59" fillId="51" borderId="0" applyNumberFormat="0" applyBorder="0" applyAlignment="0" applyProtection="0"/>
    <xf numFmtId="0" fontId="28" fillId="52" borderId="0" applyNumberFormat="0" applyBorder="0" applyAlignment="0" applyProtection="0"/>
    <xf numFmtId="168" fontId="2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3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18" fillId="0" borderId="0">
      <alignment/>
      <protection/>
    </xf>
    <xf numFmtId="0" fontId="48" fillId="0" borderId="0">
      <alignment/>
      <protection/>
    </xf>
    <xf numFmtId="0" fontId="43" fillId="53" borderId="13" applyNumberFormat="0" applyFont="0" applyAlignment="0" applyProtection="0"/>
    <xf numFmtId="0" fontId="0" fillId="54" borderId="14" applyNumberFormat="0" applyAlignment="0" applyProtection="0"/>
    <xf numFmtId="0" fontId="60" fillId="45" borderId="15" applyNumberFormat="0" applyAlignment="0" applyProtection="0"/>
    <xf numFmtId="0" fontId="31" fillId="46" borderId="16" applyNumberFormat="0" applyAlignment="0" applyProtection="0"/>
    <xf numFmtId="40" fontId="32" fillId="55" borderId="0">
      <alignment horizontal="right"/>
      <protection/>
    </xf>
    <xf numFmtId="0" fontId="33" fillId="55" borderId="0">
      <alignment horizontal="right"/>
      <protection/>
    </xf>
    <xf numFmtId="0" fontId="34" fillId="55" borderId="17">
      <alignment/>
      <protection/>
    </xf>
    <xf numFmtId="0" fontId="34" fillId="0" borderId="0" applyBorder="0">
      <alignment horizontal="centerContinuous"/>
      <protection/>
    </xf>
    <xf numFmtId="0" fontId="35" fillId="0" borderId="0" applyBorder="0">
      <alignment horizontal="centerContinuous"/>
      <protection/>
    </xf>
    <xf numFmtId="9" fontId="4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0" fontId="0" fillId="0" borderId="0">
      <alignment/>
      <protection/>
    </xf>
    <xf numFmtId="0" fontId="61" fillId="0" borderId="0" applyNumberFormat="0" applyFill="0" applyBorder="0" applyAlignment="0" applyProtection="0"/>
    <xf numFmtId="0" fontId="36" fillId="0" borderId="0" applyNumberFormat="0" applyFill="0" applyBorder="0" applyAlignment="0" applyProtection="0"/>
    <xf numFmtId="0" fontId="62" fillId="0" borderId="18" applyNumberFormat="0" applyFill="0" applyAlignment="0" applyProtection="0"/>
    <xf numFmtId="0" fontId="37" fillId="0" borderId="19"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174" fontId="0" fillId="0" borderId="0" applyFont="0" applyFill="0" applyBorder="0" applyAlignment="0" applyProtection="0"/>
    <xf numFmtId="175" fontId="0" fillId="0" borderId="0" applyFont="0" applyFill="0" applyBorder="0" applyAlignment="0" applyProtection="0"/>
  </cellStyleXfs>
  <cellXfs count="221">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4" fillId="0" borderId="20" xfId="0" applyFont="1" applyFill="1" applyBorder="1" applyAlignment="1">
      <alignment/>
    </xf>
    <xf numFmtId="0" fontId="5" fillId="0" borderId="20" xfId="0" applyFont="1" applyFill="1" applyBorder="1" applyAlignment="1">
      <alignment/>
    </xf>
    <xf numFmtId="0" fontId="4" fillId="0" borderId="21" xfId="0" applyFont="1" applyFill="1" applyBorder="1" applyAlignment="1">
      <alignment/>
    </xf>
    <xf numFmtId="0" fontId="6" fillId="0" borderId="17" xfId="0" applyFont="1" applyFill="1" applyBorder="1" applyAlignment="1">
      <alignment horizontal="center"/>
    </xf>
    <xf numFmtId="0" fontId="6" fillId="0" borderId="0" xfId="0" applyFont="1" applyFill="1" applyBorder="1" applyAlignment="1">
      <alignment/>
    </xf>
    <xf numFmtId="0" fontId="6" fillId="0" borderId="17" xfId="0" applyFont="1" applyFill="1" applyBorder="1" applyAlignment="1">
      <alignment/>
    </xf>
    <xf numFmtId="0" fontId="2" fillId="0" borderId="22" xfId="0" applyFont="1" applyFill="1" applyBorder="1" applyAlignment="1">
      <alignment/>
    </xf>
    <xf numFmtId="0" fontId="2" fillId="0" borderId="17" xfId="0" applyFont="1" applyFill="1" applyBorder="1" applyAlignment="1">
      <alignment/>
    </xf>
    <xf numFmtId="0" fontId="3" fillId="0" borderId="22"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2" fillId="0" borderId="0" xfId="0" applyFont="1" applyFill="1" applyBorder="1" applyAlignment="1">
      <alignment horizontal="left"/>
    </xf>
    <xf numFmtId="0" fontId="8" fillId="0" borderId="2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2" fillId="0" borderId="23" xfId="0" applyFont="1" applyFill="1" applyBorder="1" applyAlignment="1">
      <alignment/>
    </xf>
    <xf numFmtId="0" fontId="3" fillId="0" borderId="24" xfId="0" applyFont="1" applyFill="1" applyBorder="1" applyAlignment="1">
      <alignment horizontal="center"/>
    </xf>
    <xf numFmtId="0" fontId="3" fillId="0" borderId="21" xfId="0" applyFont="1" applyFill="1" applyBorder="1" applyAlignment="1">
      <alignment horizontal="center"/>
    </xf>
    <xf numFmtId="0" fontId="8" fillId="0" borderId="25" xfId="0" applyFont="1" applyFill="1" applyBorder="1" applyAlignment="1">
      <alignment horizontal="center"/>
    </xf>
    <xf numFmtId="0" fontId="9" fillId="0" borderId="20" xfId="0" applyFont="1" applyFill="1" applyBorder="1" applyAlignment="1">
      <alignment horizontal="center"/>
    </xf>
    <xf numFmtId="0" fontId="2" fillId="0" borderId="25" xfId="0" applyFont="1" applyFill="1" applyBorder="1" applyAlignment="1">
      <alignment/>
    </xf>
    <xf numFmtId="0" fontId="2" fillId="0" borderId="20" xfId="0" applyFont="1" applyFill="1" applyBorder="1" applyAlignment="1">
      <alignment/>
    </xf>
    <xf numFmtId="0" fontId="8" fillId="0" borderId="24" xfId="0" applyFont="1" applyFill="1" applyBorder="1" applyAlignment="1">
      <alignment horizontal="center"/>
    </xf>
    <xf numFmtId="0" fontId="9" fillId="0" borderId="25" xfId="0" applyFont="1" applyFill="1" applyBorder="1" applyAlignment="1">
      <alignment horizontal="center"/>
    </xf>
    <xf numFmtId="0" fontId="2" fillId="0" borderId="24" xfId="0" applyFont="1" applyFill="1" applyBorder="1" applyAlignment="1">
      <alignment horizontal="center"/>
    </xf>
    <xf numFmtId="0" fontId="8" fillId="0" borderId="21" xfId="0" applyFont="1" applyFill="1" applyBorder="1" applyAlignment="1">
      <alignment horizontal="center"/>
    </xf>
    <xf numFmtId="0" fontId="3" fillId="0" borderId="25" xfId="0" applyFont="1" applyFill="1" applyBorder="1" applyAlignment="1">
      <alignment/>
    </xf>
    <xf numFmtId="0" fontId="3" fillId="0" borderId="22" xfId="0" applyFont="1" applyFill="1" applyBorder="1" applyAlignment="1">
      <alignment horizontal="center"/>
    </xf>
    <xf numFmtId="0" fontId="8" fillId="0" borderId="26" xfId="0" applyFont="1" applyFill="1" applyBorder="1" applyAlignment="1">
      <alignment horizontal="center"/>
    </xf>
    <xf numFmtId="0" fontId="9" fillId="0" borderId="26" xfId="0" applyFont="1" applyFill="1" applyBorder="1" applyAlignment="1">
      <alignment horizontal="center"/>
    </xf>
    <xf numFmtId="0" fontId="8" fillId="0" borderId="22" xfId="0" applyFont="1" applyFill="1" applyBorder="1" applyAlignment="1">
      <alignment horizontal="center"/>
    </xf>
    <xf numFmtId="0" fontId="2" fillId="0" borderId="26" xfId="0" applyFont="1" applyFill="1" applyBorder="1" applyAlignment="1">
      <alignment/>
    </xf>
    <xf numFmtId="0" fontId="8" fillId="0" borderId="17" xfId="0" applyFont="1" applyFill="1" applyBorder="1" applyAlignment="1">
      <alignment horizontal="center"/>
    </xf>
    <xf numFmtId="0" fontId="8" fillId="0" borderId="26" xfId="0" applyFont="1" applyFill="1" applyBorder="1" applyAlignment="1">
      <alignment/>
    </xf>
    <xf numFmtId="0" fontId="3" fillId="0" borderId="27" xfId="0" applyFont="1" applyFill="1" applyBorder="1" applyAlignment="1">
      <alignment horizontal="center"/>
    </xf>
    <xf numFmtId="0" fontId="2" fillId="0" borderId="28" xfId="0" applyFont="1" applyFill="1" applyBorder="1" applyAlignment="1">
      <alignment/>
    </xf>
    <xf numFmtId="0" fontId="8" fillId="0" borderId="29" xfId="0" applyFont="1" applyFill="1" applyBorder="1" applyAlignment="1">
      <alignment horizontal="center"/>
    </xf>
    <xf numFmtId="0" fontId="9" fillId="0" borderId="29" xfId="0" applyFont="1" applyFill="1" applyBorder="1" applyAlignment="1">
      <alignment horizontal="center"/>
    </xf>
    <xf numFmtId="0" fontId="8" fillId="0" borderId="23" xfId="0" applyFont="1" applyFill="1" applyBorder="1" applyAlignment="1">
      <alignment horizontal="center"/>
    </xf>
    <xf numFmtId="0" fontId="8" fillId="0" borderId="27" xfId="0" applyFont="1" applyFill="1" applyBorder="1" applyAlignment="1">
      <alignment horizontal="center"/>
    </xf>
    <xf numFmtId="0" fontId="2" fillId="0" borderId="29" xfId="0" applyFont="1" applyFill="1" applyBorder="1" applyAlignment="1">
      <alignment/>
    </xf>
    <xf numFmtId="0" fontId="9" fillId="0" borderId="24" xfId="0" applyFont="1" applyFill="1" applyBorder="1" applyAlignment="1">
      <alignment horizontal="center"/>
    </xf>
    <xf numFmtId="0" fontId="8" fillId="0" borderId="20" xfId="0" applyFont="1" applyFill="1" applyBorder="1" applyAlignment="1">
      <alignment/>
    </xf>
    <xf numFmtId="43" fontId="8" fillId="0" borderId="0" xfId="84" applyFont="1" applyFill="1" applyBorder="1" applyAlignment="1">
      <alignment horizontal="right"/>
    </xf>
    <xf numFmtId="43" fontId="9" fillId="0" borderId="0" xfId="84" applyFont="1" applyFill="1" applyBorder="1" applyAlignment="1">
      <alignment horizontal="right"/>
    </xf>
    <xf numFmtId="43" fontId="9" fillId="0" borderId="0" xfId="90" applyFont="1" applyFill="1" applyBorder="1" applyAlignment="1">
      <alignment horizontal="right"/>
    </xf>
    <xf numFmtId="164" fontId="3" fillId="0" borderId="22" xfId="84" applyNumberFormat="1" applyFont="1" applyFill="1" applyBorder="1" applyAlignment="1">
      <alignment/>
    </xf>
    <xf numFmtId="43" fontId="8" fillId="0" borderId="22" xfId="84" applyFont="1" applyFill="1" applyBorder="1" applyAlignment="1">
      <alignment/>
    </xf>
    <xf numFmtId="43" fontId="3" fillId="0" borderId="0" xfId="84" applyFont="1" applyFill="1" applyBorder="1" applyAlignment="1">
      <alignment/>
    </xf>
    <xf numFmtId="43" fontId="2" fillId="0" borderId="0" xfId="84" applyFont="1" applyFill="1" applyBorder="1" applyAlignment="1">
      <alignment/>
    </xf>
    <xf numFmtId="0" fontId="2" fillId="0" borderId="21" xfId="0" applyFont="1" applyFill="1" applyBorder="1" applyAlignment="1">
      <alignment/>
    </xf>
    <xf numFmtId="0" fontId="9" fillId="0" borderId="22" xfId="0" applyFont="1" applyFill="1" applyBorder="1" applyAlignment="1">
      <alignment horizontal="center"/>
    </xf>
    <xf numFmtId="0" fontId="9" fillId="0" borderId="0" xfId="0" applyFont="1" applyFill="1" applyBorder="1" applyAlignment="1">
      <alignment/>
    </xf>
    <xf numFmtId="43" fontId="9" fillId="0" borderId="0" xfId="90" applyFont="1" applyFill="1" applyBorder="1" applyAlignment="1">
      <alignment/>
    </xf>
    <xf numFmtId="43" fontId="9" fillId="0" borderId="22" xfId="84" applyFont="1" applyFill="1" applyBorder="1" applyAlignment="1">
      <alignment/>
    </xf>
    <xf numFmtId="43" fontId="3" fillId="0" borderId="0" xfId="0" applyNumberFormat="1" applyFont="1" applyFill="1" applyBorder="1" applyAlignment="1">
      <alignment/>
    </xf>
    <xf numFmtId="43" fontId="9" fillId="0" borderId="0" xfId="84" applyFont="1" applyFill="1" applyBorder="1" applyAlignment="1">
      <alignment/>
    </xf>
    <xf numFmtId="43" fontId="8" fillId="0" borderId="0" xfId="84" applyFont="1" applyFill="1" applyBorder="1" applyAlignment="1">
      <alignment/>
    </xf>
    <xf numFmtId="43" fontId="2" fillId="0" borderId="17" xfId="84" applyFont="1" applyFill="1" applyBorder="1" applyAlignment="1">
      <alignment/>
    </xf>
    <xf numFmtId="43" fontId="2" fillId="0" borderId="0" xfId="0" applyNumberFormat="1" applyFont="1" applyFill="1" applyAlignment="1">
      <alignment/>
    </xf>
    <xf numFmtId="0" fontId="10" fillId="0" borderId="0" xfId="0" applyFont="1" applyFill="1" applyBorder="1" applyAlignment="1">
      <alignment horizontal="left"/>
    </xf>
    <xf numFmtId="43" fontId="10" fillId="0" borderId="0" xfId="84" applyFont="1" applyFill="1" applyBorder="1" applyAlignment="1">
      <alignment horizontal="right"/>
    </xf>
    <xf numFmtId="43" fontId="11" fillId="0" borderId="0" xfId="84" applyFont="1" applyFill="1" applyBorder="1" applyAlignment="1">
      <alignment horizontal="right"/>
    </xf>
    <xf numFmtId="0" fontId="8" fillId="0" borderId="0" xfId="0" applyFont="1" applyFill="1" applyBorder="1" applyAlignment="1">
      <alignment/>
    </xf>
    <xf numFmtId="0" fontId="9" fillId="0" borderId="22" xfId="0" applyFont="1" applyFill="1" applyBorder="1" applyAlignment="1">
      <alignment/>
    </xf>
    <xf numFmtId="43" fontId="9" fillId="0" borderId="17" xfId="84" applyFont="1" applyFill="1" applyBorder="1" applyAlignment="1">
      <alignment/>
    </xf>
    <xf numFmtId="0" fontId="11" fillId="0" borderId="0" xfId="0" applyFont="1" applyFill="1" applyBorder="1" applyAlignment="1">
      <alignment/>
    </xf>
    <xf numFmtId="43" fontId="8" fillId="0" borderId="0" xfId="0" applyNumberFormat="1" applyFont="1" applyFill="1" applyBorder="1" applyAlignment="1">
      <alignment/>
    </xf>
    <xf numFmtId="43" fontId="9" fillId="0" borderId="0" xfId="0" applyNumberFormat="1" applyFont="1" applyFill="1" applyBorder="1" applyAlignment="1">
      <alignment/>
    </xf>
    <xf numFmtId="0" fontId="10" fillId="0" borderId="0" xfId="0" applyFont="1" applyFill="1" applyBorder="1" applyAlignment="1">
      <alignment/>
    </xf>
    <xf numFmtId="43" fontId="3" fillId="0" borderId="22" xfId="84" applyFont="1" applyFill="1" applyBorder="1" applyAlignment="1">
      <alignment/>
    </xf>
    <xf numFmtId="43" fontId="8" fillId="0" borderId="0" xfId="90" applyFont="1" applyFill="1" applyBorder="1" applyAlignment="1">
      <alignment horizontal="right"/>
    </xf>
    <xf numFmtId="164" fontId="3" fillId="0" borderId="26" xfId="84" applyNumberFormat="1" applyFont="1" applyFill="1" applyBorder="1" applyAlignment="1">
      <alignment/>
    </xf>
    <xf numFmtId="43" fontId="11" fillId="0" borderId="0" xfId="84" applyFont="1" applyFill="1" applyBorder="1" applyAlignment="1">
      <alignment/>
    </xf>
    <xf numFmtId="43" fontId="3" fillId="0" borderId="0" xfId="0" applyNumberFormat="1" applyFont="1" applyFill="1" applyAlignment="1">
      <alignment/>
    </xf>
    <xf numFmtId="43" fontId="8" fillId="0" borderId="17" xfId="84" applyFont="1" applyFill="1" applyBorder="1" applyAlignment="1">
      <alignment/>
    </xf>
    <xf numFmtId="2" fontId="8" fillId="0" borderId="0" xfId="0" applyNumberFormat="1" applyFont="1" applyFill="1" applyBorder="1" applyAlignment="1">
      <alignment/>
    </xf>
    <xf numFmtId="2" fontId="9" fillId="0" borderId="0" xfId="0" applyNumberFormat="1" applyFont="1" applyFill="1" applyBorder="1" applyAlignment="1">
      <alignment/>
    </xf>
    <xf numFmtId="164" fontId="3" fillId="0" borderId="22" xfId="0" applyNumberFormat="1" applyFont="1" applyFill="1" applyBorder="1" applyAlignment="1">
      <alignment/>
    </xf>
    <xf numFmtId="43" fontId="8" fillId="0" borderId="0" xfId="90" applyFont="1" applyFill="1" applyBorder="1" applyAlignment="1">
      <alignment horizontal="center"/>
    </xf>
    <xf numFmtId="43" fontId="9" fillId="0" borderId="0" xfId="90" applyFont="1" applyFill="1" applyBorder="1" applyAlignment="1">
      <alignment horizontal="center"/>
    </xf>
    <xf numFmtId="43" fontId="9" fillId="0" borderId="22" xfId="0" applyNumberFormat="1" applyFont="1" applyFill="1" applyBorder="1" applyAlignment="1">
      <alignment/>
    </xf>
    <xf numFmtId="43" fontId="10" fillId="0" borderId="0" xfId="84" applyFont="1" applyFill="1" applyBorder="1" applyAlignment="1">
      <alignment horizontal="center"/>
    </xf>
    <xf numFmtId="43" fontId="11" fillId="0" borderId="0" xfId="84" applyFont="1" applyFill="1" applyBorder="1" applyAlignment="1">
      <alignment horizontal="center"/>
    </xf>
    <xf numFmtId="0" fontId="3" fillId="0" borderId="26" xfId="0" applyFont="1" applyFill="1" applyBorder="1" applyAlignment="1">
      <alignment/>
    </xf>
    <xf numFmtId="0" fontId="2" fillId="0" borderId="22" xfId="0" applyFont="1" applyFill="1" applyBorder="1" applyAlignment="1">
      <alignment horizontal="center"/>
    </xf>
    <xf numFmtId="49" fontId="9" fillId="0" borderId="0" xfId="0" applyNumberFormat="1" applyFont="1" applyFill="1" applyBorder="1" applyAlignment="1">
      <alignment/>
    </xf>
    <xf numFmtId="164" fontId="8" fillId="0" borderId="0" xfId="84" applyNumberFormat="1" applyFont="1" applyFill="1" applyBorder="1" applyAlignment="1">
      <alignment/>
    </xf>
    <xf numFmtId="164" fontId="9" fillId="0" borderId="0" xfId="84" applyNumberFormat="1" applyFont="1" applyFill="1" applyBorder="1" applyAlignment="1">
      <alignment/>
    </xf>
    <xf numFmtId="10" fontId="8" fillId="0" borderId="0" xfId="279" applyNumberFormat="1" applyFont="1" applyFill="1" applyBorder="1" applyAlignment="1">
      <alignment/>
    </xf>
    <xf numFmtId="10" fontId="9" fillId="0" borderId="0" xfId="279" applyNumberFormat="1" applyFont="1" applyFill="1" applyBorder="1" applyAlignment="1">
      <alignment/>
    </xf>
    <xf numFmtId="49" fontId="8" fillId="0" borderId="0" xfId="0" applyNumberFormat="1" applyFont="1" applyFill="1" applyBorder="1" applyAlignment="1">
      <alignment/>
    </xf>
    <xf numFmtId="9" fontId="8" fillId="0" borderId="0" xfId="279" applyNumberFormat="1" applyFont="1" applyFill="1" applyBorder="1" applyAlignment="1">
      <alignment/>
    </xf>
    <xf numFmtId="9" fontId="9" fillId="0" borderId="0" xfId="279" applyNumberFormat="1" applyFont="1" applyFill="1" applyBorder="1" applyAlignment="1">
      <alignment/>
    </xf>
    <xf numFmtId="43" fontId="9" fillId="0" borderId="23" xfId="84" applyFont="1" applyFill="1" applyBorder="1" applyAlignment="1">
      <alignment/>
    </xf>
    <xf numFmtId="0" fontId="11" fillId="0" borderId="24" xfId="0" applyFont="1" applyFill="1" applyBorder="1" applyAlignment="1">
      <alignment horizontal="center"/>
    </xf>
    <xf numFmtId="0" fontId="12" fillId="0" borderId="20" xfId="0" applyFont="1" applyFill="1" applyBorder="1" applyAlignment="1">
      <alignment/>
    </xf>
    <xf numFmtId="0" fontId="10" fillId="0" borderId="20" xfId="0" applyFont="1" applyFill="1" applyBorder="1" applyAlignment="1">
      <alignment/>
    </xf>
    <xf numFmtId="0" fontId="11" fillId="0" borderId="20" xfId="0" applyFont="1" applyFill="1" applyBorder="1" applyAlignment="1">
      <alignment/>
    </xf>
    <xf numFmtId="43" fontId="2" fillId="0" borderId="20" xfId="84" applyFont="1" applyFill="1" applyBorder="1" applyAlignment="1">
      <alignment/>
    </xf>
    <xf numFmtId="43" fontId="3" fillId="0" borderId="20" xfId="84" applyFont="1" applyFill="1" applyBorder="1" applyAlignment="1">
      <alignment/>
    </xf>
    <xf numFmtId="43" fontId="2" fillId="0" borderId="21" xfId="84" applyFont="1" applyFill="1" applyBorder="1" applyAlignment="1">
      <alignment/>
    </xf>
    <xf numFmtId="0" fontId="11" fillId="0" borderId="22" xfId="0" applyFont="1" applyFill="1" applyBorder="1" applyAlignment="1">
      <alignment horizontal="center" vertical="center"/>
    </xf>
    <xf numFmtId="0" fontId="11" fillId="0" borderId="22" xfId="0" applyFont="1" applyFill="1" applyBorder="1" applyAlignment="1">
      <alignment horizontal="center"/>
    </xf>
    <xf numFmtId="0" fontId="11" fillId="0" borderId="0" xfId="0" applyFont="1" applyFill="1" applyBorder="1" applyAlignment="1">
      <alignment horizontal="left"/>
    </xf>
    <xf numFmtId="0" fontId="11" fillId="0" borderId="22" xfId="0" applyFont="1" applyFill="1" applyBorder="1" applyAlignment="1">
      <alignment horizontal="right"/>
    </xf>
    <xf numFmtId="0" fontId="11" fillId="0" borderId="22" xfId="0" applyFont="1" applyFill="1" applyBorder="1" applyAlignment="1">
      <alignment/>
    </xf>
    <xf numFmtId="43" fontId="10" fillId="0" borderId="0" xfId="0" applyNumberFormat="1" applyFont="1" applyFill="1" applyBorder="1" applyAlignment="1">
      <alignment/>
    </xf>
    <xf numFmtId="0" fontId="11" fillId="0" borderId="0" xfId="0" applyFont="1" applyFill="1" applyBorder="1" applyAlignment="1">
      <alignment horizontal="center"/>
    </xf>
    <xf numFmtId="0" fontId="10" fillId="0" borderId="22" xfId="0" applyFont="1" applyFill="1" applyBorder="1" applyAlignment="1">
      <alignment horizontal="left"/>
    </xf>
    <xf numFmtId="15" fontId="10" fillId="0" borderId="0" xfId="0" applyNumberFormat="1" applyFont="1" applyFill="1" applyBorder="1" applyAlignment="1" quotePrefix="1">
      <alignment/>
    </xf>
    <xf numFmtId="0" fontId="11" fillId="0" borderId="0" xfId="0" applyFont="1" applyFill="1" applyBorder="1" applyAlignment="1">
      <alignment horizontal="right"/>
    </xf>
    <xf numFmtId="0" fontId="10" fillId="0" borderId="0" xfId="0" applyFont="1" applyFill="1" applyBorder="1" applyAlignment="1">
      <alignment/>
    </xf>
    <xf numFmtId="0" fontId="10" fillId="0" borderId="17" xfId="0" applyFont="1" applyFill="1" applyBorder="1" applyAlignment="1">
      <alignment horizontal="center"/>
    </xf>
    <xf numFmtId="0" fontId="10" fillId="0" borderId="27" xfId="0" applyFont="1" applyFill="1" applyBorder="1" applyAlignment="1">
      <alignment horizontal="left"/>
    </xf>
    <xf numFmtId="0" fontId="10" fillId="0" borderId="23" xfId="0" applyFont="1" applyFill="1" applyBorder="1" applyAlignment="1">
      <alignment/>
    </xf>
    <xf numFmtId="0" fontId="11" fillId="0" borderId="23" xfId="0" applyFont="1" applyFill="1" applyBorder="1" applyAlignment="1">
      <alignment/>
    </xf>
    <xf numFmtId="0" fontId="11" fillId="0" borderId="23" xfId="0" applyFont="1" applyFill="1" applyBorder="1" applyAlignment="1">
      <alignment horizontal="right"/>
    </xf>
    <xf numFmtId="0" fontId="11" fillId="0" borderId="23" xfId="0" applyFont="1" applyFill="1" applyBorder="1" applyAlignment="1">
      <alignment/>
    </xf>
    <xf numFmtId="0" fontId="11" fillId="0" borderId="23" xfId="0" applyFont="1" applyFill="1" applyBorder="1" applyAlignment="1">
      <alignment horizontal="center"/>
    </xf>
    <xf numFmtId="0" fontId="11" fillId="0" borderId="0" xfId="0" applyFont="1" applyBorder="1" applyAlignment="1">
      <alignment/>
    </xf>
    <xf numFmtId="0" fontId="11" fillId="0" borderId="30" xfId="0" applyFont="1" applyFill="1" applyBorder="1" applyAlignment="1">
      <alignment/>
    </xf>
    <xf numFmtId="0" fontId="11" fillId="0" borderId="31" xfId="0" applyFont="1" applyFill="1" applyBorder="1" applyAlignment="1">
      <alignment/>
    </xf>
    <xf numFmtId="0" fontId="10" fillId="0" borderId="30" xfId="0" applyFont="1" applyFill="1" applyBorder="1" applyAlignment="1">
      <alignment/>
    </xf>
    <xf numFmtId="0" fontId="10" fillId="0" borderId="23" xfId="0" applyFont="1" applyFill="1" applyBorder="1" applyAlignment="1">
      <alignment horizontal="center"/>
    </xf>
    <xf numFmtId="0" fontId="11" fillId="0" borderId="32" xfId="0" applyFont="1" applyFill="1" applyBorder="1" applyAlignment="1">
      <alignment horizontal="center"/>
    </xf>
    <xf numFmtId="0" fontId="11" fillId="0" borderId="33" xfId="0" applyFont="1" applyBorder="1" applyAlignment="1">
      <alignment/>
    </xf>
    <xf numFmtId="0" fontId="11" fillId="0" borderId="20" xfId="0" applyFont="1" applyBorder="1" applyAlignment="1">
      <alignment/>
    </xf>
    <xf numFmtId="0" fontId="10" fillId="0" borderId="21" xfId="0" applyFont="1" applyFill="1" applyBorder="1" applyAlignment="1">
      <alignment vertical="center"/>
    </xf>
    <xf numFmtId="0" fontId="10" fillId="0" borderId="34" xfId="0" applyFont="1" applyFill="1" applyBorder="1" applyAlignment="1">
      <alignment horizontal="center"/>
    </xf>
    <xf numFmtId="0" fontId="10" fillId="0" borderId="35" xfId="0" applyFont="1" applyFill="1" applyBorder="1" applyAlignment="1">
      <alignment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49" fontId="10" fillId="0" borderId="26" xfId="0" applyNumberFormat="1" applyFont="1" applyFill="1" applyBorder="1" applyAlignment="1">
      <alignment horizontal="center"/>
    </xf>
    <xf numFmtId="49" fontId="11" fillId="0" borderId="26" xfId="0" applyNumberFormat="1" applyFont="1" applyFill="1" applyBorder="1" applyAlignment="1">
      <alignment horizontal="center"/>
    </xf>
    <xf numFmtId="49" fontId="11" fillId="0" borderId="31" xfId="0" applyNumberFormat="1" applyFont="1" applyFill="1" applyBorder="1" applyAlignment="1">
      <alignment horizontal="center"/>
    </xf>
    <xf numFmtId="0" fontId="11" fillId="0" borderId="26" xfId="0" applyFont="1" applyFill="1" applyBorder="1" applyAlignment="1">
      <alignment horizontal="center"/>
    </xf>
    <xf numFmtId="0" fontId="11" fillId="0" borderId="31" xfId="0" applyFont="1" applyFill="1" applyBorder="1" applyAlignment="1">
      <alignment horizontal="center"/>
    </xf>
    <xf numFmtId="0" fontId="10" fillId="0" borderId="36" xfId="0" applyFont="1" applyFill="1" applyBorder="1" applyAlignment="1">
      <alignment vertical="center"/>
    </xf>
    <xf numFmtId="0" fontId="10" fillId="0" borderId="23" xfId="0" applyFont="1" applyFill="1" applyBorder="1" applyAlignment="1">
      <alignment vertical="center"/>
    </xf>
    <xf numFmtId="0" fontId="10" fillId="0" borderId="28" xfId="0" applyFont="1" applyFill="1" applyBorder="1" applyAlignment="1">
      <alignment vertical="center"/>
    </xf>
    <xf numFmtId="0" fontId="10" fillId="0" borderId="28" xfId="0" applyFont="1" applyFill="1" applyBorder="1" applyAlignment="1">
      <alignment horizontal="center"/>
    </xf>
    <xf numFmtId="0" fontId="11" fillId="0" borderId="29" xfId="0" applyFont="1" applyFill="1" applyBorder="1" applyAlignment="1">
      <alignment horizontal="center"/>
    </xf>
    <xf numFmtId="0" fontId="11" fillId="0" borderId="37" xfId="0" applyFont="1" applyFill="1" applyBorder="1" applyAlignment="1">
      <alignment horizontal="center"/>
    </xf>
    <xf numFmtId="0" fontId="10" fillId="0" borderId="30" xfId="0" applyFont="1" applyBorder="1" applyAlignment="1">
      <alignment/>
    </xf>
    <xf numFmtId="0" fontId="10" fillId="0" borderId="0" xfId="0" applyFont="1" applyBorder="1" applyAlignment="1">
      <alignment/>
    </xf>
    <xf numFmtId="43" fontId="11" fillId="0" borderId="26" xfId="90" applyNumberFormat="1" applyFont="1" applyBorder="1" applyAlignment="1">
      <alignment/>
    </xf>
    <xf numFmtId="43" fontId="11" fillId="0" borderId="25" xfId="90" applyNumberFormat="1" applyFont="1" applyBorder="1" applyAlignment="1">
      <alignment/>
    </xf>
    <xf numFmtId="43" fontId="11" fillId="0" borderId="31" xfId="90" applyNumberFormat="1" applyFont="1" applyBorder="1" applyAlignment="1">
      <alignment/>
    </xf>
    <xf numFmtId="0" fontId="11" fillId="0" borderId="30" xfId="0" applyFont="1" applyBorder="1" applyAlignment="1">
      <alignment horizontal="right"/>
    </xf>
    <xf numFmtId="0" fontId="11" fillId="0" borderId="0" xfId="0" applyFont="1" applyBorder="1" applyAlignment="1">
      <alignment horizontal="left"/>
    </xf>
    <xf numFmtId="43" fontId="10" fillId="0" borderId="26" xfId="90" applyNumberFormat="1" applyFont="1" applyBorder="1" applyAlignment="1">
      <alignment/>
    </xf>
    <xf numFmtId="43" fontId="11" fillId="0" borderId="31" xfId="90" applyFont="1" applyBorder="1" applyAlignment="1">
      <alignment/>
    </xf>
    <xf numFmtId="0" fontId="11" fillId="0" borderId="30" xfId="0" applyFont="1" applyBorder="1" applyAlignment="1">
      <alignment horizontal="center"/>
    </xf>
    <xf numFmtId="0" fontId="11" fillId="0" borderId="0" xfId="0" applyFont="1" applyBorder="1" applyAlignment="1">
      <alignment horizontal="center"/>
    </xf>
    <xf numFmtId="43" fontId="10" fillId="0" borderId="26" xfId="90" applyNumberFormat="1" applyFont="1" applyFill="1" applyBorder="1" applyAlignment="1">
      <alignment/>
    </xf>
    <xf numFmtId="43" fontId="11" fillId="0" borderId="26" xfId="90" applyNumberFormat="1" applyFont="1" applyFill="1" applyBorder="1" applyAlignment="1">
      <alignment/>
    </xf>
    <xf numFmtId="43" fontId="11" fillId="0" borderId="31" xfId="90" applyFont="1" applyFill="1" applyBorder="1" applyAlignment="1">
      <alignment/>
    </xf>
    <xf numFmtId="0" fontId="11" fillId="0" borderId="30" xfId="0" applyFont="1" applyBorder="1" applyAlignment="1">
      <alignment/>
    </xf>
    <xf numFmtId="43" fontId="10" fillId="0" borderId="38" xfId="90" applyNumberFormat="1" applyFont="1" applyBorder="1" applyAlignment="1">
      <alignment/>
    </xf>
    <xf numFmtId="43" fontId="11" fillId="0" borderId="38" xfId="90" applyNumberFormat="1" applyFont="1" applyBorder="1" applyAlignment="1">
      <alignment/>
    </xf>
    <xf numFmtId="43" fontId="11" fillId="0" borderId="39" xfId="90" applyFont="1" applyBorder="1" applyAlignment="1">
      <alignment/>
    </xf>
    <xf numFmtId="43" fontId="11" fillId="0" borderId="22" xfId="90" applyNumberFormat="1" applyFont="1" applyBorder="1" applyAlignment="1">
      <alignment/>
    </xf>
    <xf numFmtId="43" fontId="11" fillId="0" borderId="40" xfId="90" applyFont="1" applyBorder="1" applyAlignment="1">
      <alignment/>
    </xf>
    <xf numFmtId="43" fontId="10" fillId="0" borderId="22" xfId="90" applyNumberFormat="1" applyFont="1" applyBorder="1" applyAlignment="1">
      <alignment/>
    </xf>
    <xf numFmtId="43" fontId="10" fillId="0" borderId="27" xfId="90" applyNumberFormat="1" applyFont="1" applyBorder="1" applyAlignment="1">
      <alignment/>
    </xf>
    <xf numFmtId="43" fontId="11" fillId="0" borderId="27" xfId="90" applyNumberFormat="1" applyFont="1" applyFill="1" applyBorder="1" applyAlignment="1">
      <alignment/>
    </xf>
    <xf numFmtId="43" fontId="11" fillId="0" borderId="37" xfId="90" applyFont="1" applyBorder="1" applyAlignment="1">
      <alignment/>
    </xf>
    <xf numFmtId="43" fontId="10" fillId="0" borderId="29" xfId="90" applyNumberFormat="1" applyFont="1" applyBorder="1" applyAlignment="1">
      <alignment/>
    </xf>
    <xf numFmtId="43" fontId="11" fillId="0" borderId="29" xfId="90" applyNumberFormat="1" applyFont="1" applyBorder="1" applyAlignment="1">
      <alignment/>
    </xf>
    <xf numFmtId="43" fontId="11" fillId="0" borderId="0" xfId="0" applyNumberFormat="1" applyFont="1" applyAlignment="1">
      <alignment/>
    </xf>
    <xf numFmtId="0" fontId="11" fillId="0" borderId="0" xfId="0" applyFont="1" applyAlignment="1">
      <alignment/>
    </xf>
    <xf numFmtId="43" fontId="11" fillId="0" borderId="41" xfId="90" applyNumberFormat="1" applyFont="1" applyBorder="1" applyAlignment="1">
      <alignment/>
    </xf>
    <xf numFmtId="43" fontId="11" fillId="0" borderId="34" xfId="90" applyNumberFormat="1" applyFont="1" applyBorder="1" applyAlignment="1">
      <alignment/>
    </xf>
    <xf numFmtId="43" fontId="10" fillId="0" borderId="41" xfId="90" applyNumberFormat="1" applyFont="1" applyBorder="1" applyAlignment="1">
      <alignment/>
    </xf>
    <xf numFmtId="43" fontId="10" fillId="0" borderId="25" xfId="90" applyNumberFormat="1" applyFont="1" applyBorder="1" applyAlignment="1">
      <alignment/>
    </xf>
    <xf numFmtId="43" fontId="11" fillId="0" borderId="17" xfId="90" applyNumberFormat="1" applyFont="1" applyBorder="1" applyAlignment="1">
      <alignment/>
    </xf>
    <xf numFmtId="43" fontId="11" fillId="0" borderId="40" xfId="90" applyNumberFormat="1" applyFont="1" applyBorder="1" applyAlignment="1">
      <alignment/>
    </xf>
    <xf numFmtId="0" fontId="11" fillId="0" borderId="42" xfId="0" applyFont="1" applyBorder="1" applyAlignment="1">
      <alignment/>
    </xf>
    <xf numFmtId="0" fontId="11" fillId="0" borderId="43" xfId="0" applyFont="1" applyBorder="1" applyAlignment="1">
      <alignment/>
    </xf>
    <xf numFmtId="43" fontId="10" fillId="0" borderId="44" xfId="90" applyNumberFormat="1" applyFont="1" applyBorder="1" applyAlignment="1">
      <alignment/>
    </xf>
    <xf numFmtId="43" fontId="11" fillId="0" borderId="43" xfId="90" applyNumberFormat="1" applyFont="1" applyBorder="1" applyAlignment="1">
      <alignment/>
    </xf>
    <xf numFmtId="43" fontId="11" fillId="0" borderId="45" xfId="90" applyFont="1" applyBorder="1" applyAlignment="1">
      <alignment/>
    </xf>
    <xf numFmtId="0" fontId="10" fillId="0" borderId="0" xfId="0" applyFont="1" applyFill="1" applyBorder="1" applyAlignment="1">
      <alignment horizontal="center"/>
    </xf>
    <xf numFmtId="0" fontId="10" fillId="0" borderId="17" xfId="0" applyFont="1" applyFill="1" applyBorder="1" applyAlignment="1">
      <alignment horizontal="center"/>
    </xf>
    <xf numFmtId="0" fontId="11" fillId="0" borderId="0" xfId="0" applyFont="1" applyFill="1" applyBorder="1" applyAlignment="1">
      <alignment horizontal="center"/>
    </xf>
    <xf numFmtId="0" fontId="11" fillId="0" borderId="17" xfId="0" applyFont="1" applyFill="1" applyBorder="1" applyAlignment="1">
      <alignment horizontal="center"/>
    </xf>
    <xf numFmtId="0" fontId="4" fillId="0" borderId="24"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6" fillId="0" borderId="22"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7" fillId="0" borderId="22" xfId="0" applyFont="1" applyFill="1" applyBorder="1" applyAlignment="1">
      <alignment horizontal="center"/>
    </xf>
    <xf numFmtId="0" fontId="7" fillId="0" borderId="0" xfId="0" applyFont="1" applyFill="1" applyBorder="1" applyAlignment="1">
      <alignment horizontal="center"/>
    </xf>
    <xf numFmtId="0" fontId="7" fillId="0" borderId="17" xfId="0" applyFont="1" applyFill="1" applyBorder="1" applyAlignment="1">
      <alignment horizontal="center"/>
    </xf>
    <xf numFmtId="0" fontId="3" fillId="0" borderId="0" xfId="0" applyFont="1" applyFill="1" applyBorder="1" applyAlignment="1">
      <alignment horizontal="center"/>
    </xf>
    <xf numFmtId="0" fontId="3" fillId="0" borderId="17" xfId="0" applyFont="1" applyFill="1" applyBorder="1" applyAlignment="1">
      <alignment horizontal="center"/>
    </xf>
    <xf numFmtId="0" fontId="2" fillId="0" borderId="0" xfId="0" applyFont="1" applyFill="1" applyBorder="1" applyAlignment="1">
      <alignment horizontal="center"/>
    </xf>
    <xf numFmtId="0" fontId="2" fillId="0" borderId="17" xfId="0" applyFont="1" applyFill="1" applyBorder="1" applyAlignment="1">
      <alignment horizontal="center"/>
    </xf>
    <xf numFmtId="0" fontId="11" fillId="0" borderId="0" xfId="0" applyFont="1" applyFill="1" applyBorder="1" applyAlignment="1">
      <alignment horizontal="left"/>
    </xf>
    <xf numFmtId="0" fontId="11" fillId="0" borderId="17" xfId="0" applyFont="1" applyFill="1" applyBorder="1" applyAlignment="1">
      <alignment horizontal="left"/>
    </xf>
    <xf numFmtId="0" fontId="11" fillId="0" borderId="23" xfId="0" applyFont="1" applyFill="1" applyBorder="1" applyAlignment="1">
      <alignment horizontal="center"/>
    </xf>
    <xf numFmtId="0" fontId="11" fillId="0" borderId="28" xfId="0" applyFont="1" applyFill="1" applyBorder="1" applyAlignment="1">
      <alignment horizontal="center"/>
    </xf>
    <xf numFmtId="0" fontId="11" fillId="0" borderId="0" xfId="0" applyFont="1" applyFill="1" applyBorder="1" applyAlignment="1">
      <alignment horizontal="left" wrapText="1"/>
    </xf>
    <xf numFmtId="0" fontId="11" fillId="0" borderId="17" xfId="0" applyFont="1" applyFill="1" applyBorder="1" applyAlignment="1">
      <alignment horizontal="left"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39" fillId="0" borderId="46" xfId="0" applyFont="1" applyFill="1" applyBorder="1" applyAlignment="1">
      <alignment horizontal="center"/>
    </xf>
    <xf numFmtId="0" fontId="39" fillId="0" borderId="47" xfId="0" applyFont="1" applyFill="1" applyBorder="1" applyAlignment="1">
      <alignment horizontal="center"/>
    </xf>
    <xf numFmtId="0" fontId="39" fillId="0" borderId="48" xfId="0" applyFont="1" applyFill="1" applyBorder="1" applyAlignment="1">
      <alignment horizontal="center"/>
    </xf>
    <xf numFmtId="0" fontId="10" fillId="0" borderId="30" xfId="0" applyFont="1" applyFill="1" applyBorder="1" applyAlignment="1">
      <alignment horizontal="center"/>
    </xf>
    <xf numFmtId="0" fontId="10" fillId="0" borderId="31" xfId="0" applyFont="1" applyFill="1" applyBorder="1" applyAlignment="1">
      <alignment horizontal="center"/>
    </xf>
    <xf numFmtId="0" fontId="10" fillId="0" borderId="49" xfId="0" applyFont="1" applyFill="1" applyBorder="1" applyAlignment="1">
      <alignment horizontal="center"/>
    </xf>
    <xf numFmtId="0" fontId="10" fillId="0" borderId="50" xfId="0" applyFont="1" applyFill="1" applyBorder="1" applyAlignment="1">
      <alignment horizontal="center"/>
    </xf>
  </cellXfs>
  <cellStyles count="281">
    <cellStyle name="Normal" xfId="0"/>
    <cellStyle name="_AFL Financials_Multiplex Projects-31th Dec-07" xfId="15"/>
    <cellStyle name="_Dep 07-08 Corporate Dec 07" xfId="16"/>
    <cellStyle name="20% - Accent1" xfId="17"/>
    <cellStyle name="20% - Accent1 2" xfId="18"/>
    <cellStyle name="20% - Accent2" xfId="19"/>
    <cellStyle name="20% - Accent2 2" xfId="20"/>
    <cellStyle name="20% - Accent3" xfId="21"/>
    <cellStyle name="20% - Accent3 2" xfId="22"/>
    <cellStyle name="20% - Accent4" xfId="23"/>
    <cellStyle name="20% - Accent4 2" xfId="24"/>
    <cellStyle name="20% - Accent5" xfId="25"/>
    <cellStyle name="20% - Accent5 2" xfId="26"/>
    <cellStyle name="20% - Accent6" xfId="27"/>
    <cellStyle name="20% - Accent6 2" xfId="28"/>
    <cellStyle name="40% - Accent1" xfId="29"/>
    <cellStyle name="40% - Accent1 2" xfId="30"/>
    <cellStyle name="40% - Accent2" xfId="31"/>
    <cellStyle name="40% - Accent2 2" xfId="32"/>
    <cellStyle name="40% - Accent3" xfId="33"/>
    <cellStyle name="40% - Accent3 2" xfId="34"/>
    <cellStyle name="40% - Accent4" xfId="35"/>
    <cellStyle name="40% - Accent4 2" xfId="36"/>
    <cellStyle name="40% - Accent5" xfId="37"/>
    <cellStyle name="40% - Accent5 2" xfId="38"/>
    <cellStyle name="40% - Accent6" xfId="39"/>
    <cellStyle name="40% - Accent6 2" xfId="40"/>
    <cellStyle name="60% - Accent1" xfId="41"/>
    <cellStyle name="60% - Accent1 2" xfId="42"/>
    <cellStyle name="60% - Accent2" xfId="43"/>
    <cellStyle name="60% - Accent2 2" xfId="44"/>
    <cellStyle name="60% - Accent3" xfId="45"/>
    <cellStyle name="60% - Accent3 2" xfId="46"/>
    <cellStyle name="60% - Accent4" xfId="47"/>
    <cellStyle name="60% - Accent4 2" xfId="48"/>
    <cellStyle name="60% - Accent5" xfId="49"/>
    <cellStyle name="60% - Accent5 2" xfId="50"/>
    <cellStyle name="60% - Accent6" xfId="51"/>
    <cellStyle name="60% - Accent6 2" xfId="52"/>
    <cellStyle name="Accent1" xfId="53"/>
    <cellStyle name="Accent1 2" xfId="54"/>
    <cellStyle name="Accent2" xfId="55"/>
    <cellStyle name="Accent2 2" xfId="56"/>
    <cellStyle name="Accent3" xfId="57"/>
    <cellStyle name="Accent3 2" xfId="58"/>
    <cellStyle name="Accent4" xfId="59"/>
    <cellStyle name="Accent4 2" xfId="60"/>
    <cellStyle name="Accent5" xfId="61"/>
    <cellStyle name="Accent5 2" xfId="62"/>
    <cellStyle name="Accent6" xfId="63"/>
    <cellStyle name="Accent6 2" xfId="64"/>
    <cellStyle name="Bad" xfId="65"/>
    <cellStyle name="Bad 2" xfId="66"/>
    <cellStyle name="Calculation" xfId="67"/>
    <cellStyle name="Calculation 2" xfId="68"/>
    <cellStyle name="Check Cell" xfId="69"/>
    <cellStyle name="Check Cell 2" xfId="70"/>
    <cellStyle name="Comma" xfId="71"/>
    <cellStyle name="Comma  - Style1" xfId="72"/>
    <cellStyle name="Comma  - Style2" xfId="73"/>
    <cellStyle name="Comma  - Style3" xfId="74"/>
    <cellStyle name="Comma  - Style4" xfId="75"/>
    <cellStyle name="Comma  - Style5" xfId="76"/>
    <cellStyle name="Comma  - Style6" xfId="77"/>
    <cellStyle name="Comma  - Style7" xfId="78"/>
    <cellStyle name="Comma  - Style8" xfId="79"/>
    <cellStyle name="Comma [0]" xfId="80"/>
    <cellStyle name="Comma 10" xfId="81"/>
    <cellStyle name="Comma 11" xfId="82"/>
    <cellStyle name="Comma 2" xfId="83"/>
    <cellStyle name="Comma 2 2" xfId="84"/>
    <cellStyle name="Comma 2 3" xfId="85"/>
    <cellStyle name="Comma 2 4" xfId="86"/>
    <cellStyle name="Comma 2 5" xfId="87"/>
    <cellStyle name="Comma 3" xfId="88"/>
    <cellStyle name="Comma 3 2" xfId="89"/>
    <cellStyle name="Comma 3 2 2" xfId="90"/>
    <cellStyle name="Comma 4" xfId="91"/>
    <cellStyle name="Comma 4 2" xfId="92"/>
    <cellStyle name="Comma 5" xfId="93"/>
    <cellStyle name="Comma 5 10" xfId="94"/>
    <cellStyle name="Comma 5 11" xfId="95"/>
    <cellStyle name="Comma 5 12" xfId="96"/>
    <cellStyle name="Comma 5 13" xfId="97"/>
    <cellStyle name="Comma 5 14" xfId="98"/>
    <cellStyle name="Comma 5 15" xfId="99"/>
    <cellStyle name="Comma 5 16" xfId="100"/>
    <cellStyle name="Comma 5 17" xfId="101"/>
    <cellStyle name="Comma 5 18" xfId="102"/>
    <cellStyle name="Comma 5 19" xfId="103"/>
    <cellStyle name="Comma 5 2" xfId="104"/>
    <cellStyle name="Comma 5 20" xfId="105"/>
    <cellStyle name="Comma 5 21" xfId="106"/>
    <cellStyle name="Comma 5 22" xfId="107"/>
    <cellStyle name="Comma 5 23" xfId="108"/>
    <cellStyle name="Comma 5 24" xfId="109"/>
    <cellStyle name="Comma 5 25" xfId="110"/>
    <cellStyle name="Comma 5 26" xfId="111"/>
    <cellStyle name="Comma 5 27" xfId="112"/>
    <cellStyle name="Comma 5 28" xfId="113"/>
    <cellStyle name="Comma 5 29" xfId="114"/>
    <cellStyle name="Comma 5 3" xfId="115"/>
    <cellStyle name="Comma 5 30" xfId="116"/>
    <cellStyle name="Comma 5 31" xfId="117"/>
    <cellStyle name="Comma 5 32" xfId="118"/>
    <cellStyle name="Comma 5 33" xfId="119"/>
    <cellStyle name="Comma 5 34" xfId="120"/>
    <cellStyle name="Comma 5 35" xfId="121"/>
    <cellStyle name="Comma 5 36" xfId="122"/>
    <cellStyle name="Comma 5 37" xfId="123"/>
    <cellStyle name="Comma 5 38" xfId="124"/>
    <cellStyle name="Comma 5 39" xfId="125"/>
    <cellStyle name="Comma 5 4" xfId="126"/>
    <cellStyle name="Comma 5 40" xfId="127"/>
    <cellStyle name="Comma 5 5" xfId="128"/>
    <cellStyle name="Comma 5 6" xfId="129"/>
    <cellStyle name="Comma 5 7" xfId="130"/>
    <cellStyle name="Comma 5 8" xfId="131"/>
    <cellStyle name="Comma 5 9" xfId="132"/>
    <cellStyle name="Comma 6" xfId="133"/>
    <cellStyle name="Comma 7" xfId="134"/>
    <cellStyle name="Comma 8" xfId="135"/>
    <cellStyle name="Comma 9" xfId="136"/>
    <cellStyle name="Currency" xfId="137"/>
    <cellStyle name="Currency [0]" xfId="138"/>
    <cellStyle name="Currency 2" xfId="139"/>
    <cellStyle name="Currency 2 10" xfId="140"/>
    <cellStyle name="Currency 2 11" xfId="141"/>
    <cellStyle name="Currency 2 12" xfId="142"/>
    <cellStyle name="Currency 2 13" xfId="143"/>
    <cellStyle name="Currency 2 14" xfId="144"/>
    <cellStyle name="Currency 2 15" xfId="145"/>
    <cellStyle name="Currency 2 16" xfId="146"/>
    <cellStyle name="Currency 2 17" xfId="147"/>
    <cellStyle name="Currency 2 18" xfId="148"/>
    <cellStyle name="Currency 2 19" xfId="149"/>
    <cellStyle name="Currency 2 2" xfId="150"/>
    <cellStyle name="Currency 2 20" xfId="151"/>
    <cellStyle name="Currency 2 21" xfId="152"/>
    <cellStyle name="Currency 2 22" xfId="153"/>
    <cellStyle name="Currency 2 23" xfId="154"/>
    <cellStyle name="Currency 2 24" xfId="155"/>
    <cellStyle name="Currency 2 25" xfId="156"/>
    <cellStyle name="Currency 2 26" xfId="157"/>
    <cellStyle name="Currency 2 27" xfId="158"/>
    <cellStyle name="Currency 2 28" xfId="159"/>
    <cellStyle name="Currency 2 29" xfId="160"/>
    <cellStyle name="Currency 2 3" xfId="161"/>
    <cellStyle name="Currency 2 30" xfId="162"/>
    <cellStyle name="Currency 2 31" xfId="163"/>
    <cellStyle name="Currency 2 32" xfId="164"/>
    <cellStyle name="Currency 2 33" xfId="165"/>
    <cellStyle name="Currency 2 34" xfId="166"/>
    <cellStyle name="Currency 2 35" xfId="167"/>
    <cellStyle name="Currency 2 36" xfId="168"/>
    <cellStyle name="Currency 2 37" xfId="169"/>
    <cellStyle name="Currency 2 38" xfId="170"/>
    <cellStyle name="Currency 2 39" xfId="171"/>
    <cellStyle name="Currency 2 4" xfId="172"/>
    <cellStyle name="Currency 2 40" xfId="173"/>
    <cellStyle name="Currency 2 5" xfId="174"/>
    <cellStyle name="Currency 2 6" xfId="175"/>
    <cellStyle name="Currency 2 7" xfId="176"/>
    <cellStyle name="Currency 2 8" xfId="177"/>
    <cellStyle name="Currency 2 9" xfId="178"/>
    <cellStyle name="Custom - Style8" xfId="179"/>
    <cellStyle name="Dezimal [0]_Pr.Ev. CCC" xfId="180"/>
    <cellStyle name="Dezimal_Pr.Ev. CCC" xfId="181"/>
    <cellStyle name="Euro" xfId="182"/>
    <cellStyle name="Explanatory Text" xfId="183"/>
    <cellStyle name="Explanatory Text 2" xfId="184"/>
    <cellStyle name="Good" xfId="185"/>
    <cellStyle name="Good 2" xfId="186"/>
    <cellStyle name="Heading 1" xfId="187"/>
    <cellStyle name="Heading 1 2" xfId="188"/>
    <cellStyle name="Heading 2" xfId="189"/>
    <cellStyle name="Heading 2 2" xfId="190"/>
    <cellStyle name="Heading 3" xfId="191"/>
    <cellStyle name="Heading 3 2" xfId="192"/>
    <cellStyle name="Heading 4" xfId="193"/>
    <cellStyle name="Heading 4 2" xfId="194"/>
    <cellStyle name="Hyperlink 2" xfId="195"/>
    <cellStyle name="Input" xfId="196"/>
    <cellStyle name="Input 2" xfId="197"/>
    <cellStyle name="Linked Cell" xfId="198"/>
    <cellStyle name="Linked Cell 2" xfId="199"/>
    <cellStyle name="Milliers [0]_FAX!" xfId="200"/>
    <cellStyle name="Milliers_FAX!" xfId="201"/>
    <cellStyle name="Monétaire [0]_FAX!" xfId="202"/>
    <cellStyle name="Monétaire_FAX!" xfId="203"/>
    <cellStyle name="Neutral" xfId="204"/>
    <cellStyle name="Neutral 2" xfId="205"/>
    <cellStyle name="Normal - Style1" xfId="206"/>
    <cellStyle name="Normal 2" xfId="207"/>
    <cellStyle name="Normal 2 2" xfId="208"/>
    <cellStyle name="Normal 2 2 2" xfId="209"/>
    <cellStyle name="Normal 2 3" xfId="210"/>
    <cellStyle name="Normal 2 4" xfId="211"/>
    <cellStyle name="Normal 2 5" xfId="212"/>
    <cellStyle name="Normal 2_Financials WWIL 22(1).06.2009 after editing" xfId="213"/>
    <cellStyle name="Normal 3" xfId="214"/>
    <cellStyle name="Normal 3 2" xfId="215"/>
    <cellStyle name="Normal 3 3" xfId="216"/>
    <cellStyle name="Normal 3 4" xfId="217"/>
    <cellStyle name="Normal 3 5" xfId="218"/>
    <cellStyle name="Normal 3_Financials WWIL 22(1).06.2009 after editing" xfId="219"/>
    <cellStyle name="Normal 4" xfId="220"/>
    <cellStyle name="Normal 4 2" xfId="221"/>
    <cellStyle name="Normal 4 3" xfId="222"/>
    <cellStyle name="Normal 4 4" xfId="223"/>
    <cellStyle name="Normal 5" xfId="224"/>
    <cellStyle name="Normal 5 10" xfId="225"/>
    <cellStyle name="Normal 5 11" xfId="226"/>
    <cellStyle name="Normal 5 12" xfId="227"/>
    <cellStyle name="Normal 5 13" xfId="228"/>
    <cellStyle name="Normal 5 14" xfId="229"/>
    <cellStyle name="Normal 5 15" xfId="230"/>
    <cellStyle name="Normal 5 16" xfId="231"/>
    <cellStyle name="Normal 5 17" xfId="232"/>
    <cellStyle name="Normal 5 18" xfId="233"/>
    <cellStyle name="Normal 5 19" xfId="234"/>
    <cellStyle name="Normal 5 2" xfId="235"/>
    <cellStyle name="Normal 5 20" xfId="236"/>
    <cellStyle name="Normal 5 21" xfId="237"/>
    <cellStyle name="Normal 5 22" xfId="238"/>
    <cellStyle name="Normal 5 23" xfId="239"/>
    <cellStyle name="Normal 5 24" xfId="240"/>
    <cellStyle name="Normal 5 25" xfId="241"/>
    <cellStyle name="Normal 5 26" xfId="242"/>
    <cellStyle name="Normal 5 27" xfId="243"/>
    <cellStyle name="Normal 5 28" xfId="244"/>
    <cellStyle name="Normal 5 29" xfId="245"/>
    <cellStyle name="Normal 5 3" xfId="246"/>
    <cellStyle name="Normal 5 30" xfId="247"/>
    <cellStyle name="Normal 5 31" xfId="248"/>
    <cellStyle name="Normal 5 32" xfId="249"/>
    <cellStyle name="Normal 5 33" xfId="250"/>
    <cellStyle name="Normal 5 34" xfId="251"/>
    <cellStyle name="Normal 5 35" xfId="252"/>
    <cellStyle name="Normal 5 36" xfId="253"/>
    <cellStyle name="Normal 5 37" xfId="254"/>
    <cellStyle name="Normal 5 38" xfId="255"/>
    <cellStyle name="Normal 5 39" xfId="256"/>
    <cellStyle name="Normal 5 4" xfId="257"/>
    <cellStyle name="Normal 5 40" xfId="258"/>
    <cellStyle name="Normal 5 5" xfId="259"/>
    <cellStyle name="Normal 5 6" xfId="260"/>
    <cellStyle name="Normal 5 7" xfId="261"/>
    <cellStyle name="Normal 5 8" xfId="262"/>
    <cellStyle name="Normal 5 9" xfId="263"/>
    <cellStyle name="Normal 6" xfId="264"/>
    <cellStyle name="Normal 7" xfId="265"/>
    <cellStyle name="Normal 8" xfId="266"/>
    <cellStyle name="Normal 9" xfId="267"/>
    <cellStyle name="Note" xfId="268"/>
    <cellStyle name="Note 2" xfId="269"/>
    <cellStyle name="Output" xfId="270"/>
    <cellStyle name="Output 2" xfId="271"/>
    <cellStyle name="Output Amounts" xfId="272"/>
    <cellStyle name="Output Column Headings" xfId="273"/>
    <cellStyle name="Output Line Items" xfId="274"/>
    <cellStyle name="Output Report Heading" xfId="275"/>
    <cellStyle name="Output Report Title" xfId="276"/>
    <cellStyle name="Percent" xfId="277"/>
    <cellStyle name="Percent 2" xfId="278"/>
    <cellStyle name="Percent 3" xfId="279"/>
    <cellStyle name="Percent 4" xfId="280"/>
    <cellStyle name="Style 1" xfId="281"/>
    <cellStyle name="Title" xfId="282"/>
    <cellStyle name="Title 2" xfId="283"/>
    <cellStyle name="Total" xfId="284"/>
    <cellStyle name="Total 2" xfId="285"/>
    <cellStyle name="Warning Text" xfId="286"/>
    <cellStyle name="Warning Text 2" xfId="287"/>
    <cellStyle name="W臧rung [0]_Pr.Ev. CCC" xfId="288"/>
    <cellStyle name="W臧rung_Pr.Ev. CCC" xfId="289"/>
    <cellStyle name="桁区切り [0.00]_ARAVA" xfId="290"/>
    <cellStyle name="桁区切り_ARAVA" xfId="291"/>
    <cellStyle name="標準_ARAVA" xfId="292"/>
    <cellStyle name="通貨 [0.00]_ARAVA" xfId="293"/>
    <cellStyle name="通貨_ARAVA" xfId="2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L-MARCH'11-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m\Accounts\Final'10\1.Mukta%20Arts%20Ltd-10\1.Mukta%20Arts%20Ltd-10-Final%20Audit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abc\Desktop\WWIL\AR-%2022.6.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UKTA%20SUAD%20MAR%202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udit%20Projects\Mukta%20Arts\December%202010\Rent\Rent%20Incom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ckup\Nikesh%20Backup\KPMG%20Current%20Clients\Mukta%20Arts%20March%202011\Glenn%20Points\Glenn\Anuj\Rent,%20Amenities%20and%20Miscellaneous%20Income\Other%20Incom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ted"/>
      <sheetName val="Press Release"/>
      <sheetName val="P&amp;L Chart"/>
      <sheetName val="BSE-BS"/>
      <sheetName val="BS Chart"/>
      <sheetName val="Segment working"/>
      <sheetName val="SUAD"/>
      <sheetName val="Mukta"/>
      <sheetName val="BS"/>
      <sheetName val="P&amp;L"/>
      <sheetName val="schedules"/>
      <sheetName val="SCH-D-DEPR"/>
      <sheetName val="SCH-E"/>
      <sheetName val="shed-N&amp;O"/>
      <sheetName val="Notes-1"/>
      <sheetName val="Notes-2"/>
      <sheetName val="Indirect Exp."/>
      <sheetName val="Working"/>
      <sheetName val="P&amp;L(Q)"/>
      <sheetName val="TB"/>
      <sheetName val="Provisions"/>
      <sheetName val="Distribution "/>
    </sheetNames>
    <sheetDataSet>
      <sheetData sheetId="0">
        <row r="5">
          <cell r="K5">
            <v>18594.9470701</v>
          </cell>
        </row>
        <row r="6">
          <cell r="K6">
            <v>30.5531</v>
          </cell>
        </row>
        <row r="7">
          <cell r="K7">
            <v>109.5043075</v>
          </cell>
        </row>
        <row r="8">
          <cell r="K8">
            <v>1675.5083399</v>
          </cell>
        </row>
        <row r="9">
          <cell r="K9">
            <v>1683.6841860833335</v>
          </cell>
        </row>
        <row r="10">
          <cell r="I10">
            <v>26588329</v>
          </cell>
        </row>
        <row r="12">
          <cell r="K12">
            <v>15652.484358358497</v>
          </cell>
          <cell r="P12">
            <v>581.4967720833333</v>
          </cell>
          <cell r="Q12">
            <v>91.39781</v>
          </cell>
        </row>
        <row r="13">
          <cell r="K13">
            <v>4.25</v>
          </cell>
        </row>
        <row r="14">
          <cell r="K14">
            <v>881.02753420625</v>
          </cell>
        </row>
        <row r="15">
          <cell r="K15">
            <v>3033.4401176</v>
          </cell>
        </row>
        <row r="16">
          <cell r="K16">
            <v>755.995904121438</v>
          </cell>
        </row>
        <row r="17">
          <cell r="K17">
            <v>2308.387965104098</v>
          </cell>
        </row>
        <row r="19">
          <cell r="K19">
            <v>706.174016372825</v>
          </cell>
        </row>
        <row r="23">
          <cell r="K23">
            <v>112.38156</v>
          </cell>
        </row>
        <row r="24">
          <cell r="K24">
            <v>-95.02281</v>
          </cell>
        </row>
        <row r="30">
          <cell r="K30">
            <v>300.034</v>
          </cell>
        </row>
        <row r="31">
          <cell r="K31">
            <v>0.005799760000000001</v>
          </cell>
        </row>
        <row r="47">
          <cell r="K47">
            <v>1129.175</v>
          </cell>
        </row>
        <row r="48">
          <cell r="K48">
            <v>0</v>
          </cell>
        </row>
        <row r="51">
          <cell r="K51">
            <v>-6596.819090748365</v>
          </cell>
        </row>
        <row r="52">
          <cell r="K52">
            <v>632.3991353</v>
          </cell>
        </row>
        <row r="53">
          <cell r="K53">
            <v>9733.6</v>
          </cell>
        </row>
        <row r="55">
          <cell r="K55">
            <v>0.08851</v>
          </cell>
        </row>
        <row r="58">
          <cell r="K58">
            <v>6945.1036913</v>
          </cell>
        </row>
        <row r="59">
          <cell r="K59">
            <v>0</v>
          </cell>
        </row>
        <row r="68">
          <cell r="K68">
            <v>9663.534043812751</v>
          </cell>
        </row>
        <row r="72">
          <cell r="K72">
            <v>3582.31104</v>
          </cell>
        </row>
        <row r="74">
          <cell r="K74">
            <v>0</v>
          </cell>
        </row>
        <row r="79">
          <cell r="K79">
            <v>2615.3764671</v>
          </cell>
        </row>
        <row r="80">
          <cell r="K80">
            <v>392.4523345</v>
          </cell>
        </row>
        <row r="81">
          <cell r="K81">
            <v>517.8816</v>
          </cell>
        </row>
        <row r="82">
          <cell r="K82">
            <v>2654.5106297833336</v>
          </cell>
        </row>
        <row r="85">
          <cell r="O85">
            <v>-90847971.85738027</v>
          </cell>
        </row>
        <row r="86">
          <cell r="K86">
            <v>5974.767404064751</v>
          </cell>
        </row>
        <row r="87">
          <cell r="K87">
            <v>1607.7514330769231</v>
          </cell>
        </row>
        <row r="93">
          <cell r="K93">
            <v>0</v>
          </cell>
        </row>
      </sheetData>
      <sheetData sheetId="2">
        <row r="16">
          <cell r="R16">
            <v>1861076639.01</v>
          </cell>
        </row>
        <row r="23">
          <cell r="R23">
            <v>4229676.75</v>
          </cell>
        </row>
        <row r="28">
          <cell r="R28">
            <v>58029677.208333336</v>
          </cell>
        </row>
        <row r="34">
          <cell r="R34">
            <v>187136100.60833335</v>
          </cell>
        </row>
        <row r="49">
          <cell r="R49">
            <v>1565248435.8358498</v>
          </cell>
        </row>
        <row r="52">
          <cell r="R52">
            <v>53725370.900625</v>
          </cell>
        </row>
        <row r="53">
          <cell r="R53">
            <v>151187016.04728252</v>
          </cell>
        </row>
        <row r="54">
          <cell r="R54">
            <v>8341278.550409807</v>
          </cell>
        </row>
        <row r="62">
          <cell r="R62">
            <v>30520321.190645877</v>
          </cell>
        </row>
        <row r="63">
          <cell r="R63">
            <v>303344011.76</v>
          </cell>
        </row>
        <row r="64">
          <cell r="R64">
            <v>1708875</v>
          </cell>
        </row>
        <row r="66">
          <cell r="AA66">
            <v>-1083.4039988160334</v>
          </cell>
          <cell r="AB66">
            <v>-56.870842499999995</v>
          </cell>
          <cell r="AC66">
            <v>646.3233924471874</v>
          </cell>
          <cell r="AD66">
            <v>500.35269208333335</v>
          </cell>
        </row>
      </sheetData>
      <sheetData sheetId="4">
        <row r="11">
          <cell r="T11">
            <v>973360000</v>
          </cell>
        </row>
        <row r="12">
          <cell r="T12">
            <v>63239913.53</v>
          </cell>
        </row>
        <row r="13">
          <cell r="T13">
            <v>-126071539.86</v>
          </cell>
        </row>
        <row r="14">
          <cell r="T14">
            <v>-61632892.916480005</v>
          </cell>
        </row>
        <row r="24">
          <cell r="T24">
            <v>157229290.30769232</v>
          </cell>
        </row>
        <row r="47">
          <cell r="T47">
            <v>47616939</v>
          </cell>
        </row>
        <row r="65">
          <cell r="V65">
            <v>3838.9659567116596</v>
          </cell>
          <cell r="W65">
            <v>663.6133996</v>
          </cell>
          <cell r="X65">
            <v>4009.7146010522247</v>
          </cell>
          <cell r="Y65">
            <v>1105.8358992777755</v>
          </cell>
        </row>
      </sheetData>
      <sheetData sheetId="8">
        <row r="10">
          <cell r="F10">
            <v>112917500</v>
          </cell>
        </row>
        <row r="11">
          <cell r="F11">
            <v>848895481.22352</v>
          </cell>
        </row>
        <row r="14">
          <cell r="F14">
            <v>629469737</v>
          </cell>
        </row>
        <row r="25">
          <cell r="F25">
            <v>590942809.5093541</v>
          </cell>
        </row>
        <row r="27">
          <cell r="F27">
            <v>731821204</v>
          </cell>
        </row>
        <row r="33">
          <cell r="F33">
            <v>250572999.67999998</v>
          </cell>
        </row>
        <row r="34">
          <cell r="F34">
            <v>37539443.92</v>
          </cell>
        </row>
        <row r="35">
          <cell r="F35">
            <v>647946098.1883334</v>
          </cell>
        </row>
        <row r="37">
          <cell r="F37">
            <v>667539833.7141674</v>
          </cell>
        </row>
      </sheetData>
      <sheetData sheetId="16">
        <row r="21">
          <cell r="S21">
            <v>60564141.87728251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utation"/>
      <sheetName val="FINHLTS"/>
      <sheetName val="Publish format "/>
      <sheetName val="Consolidated"/>
      <sheetName val="BS"/>
      <sheetName val="P&amp;L"/>
      <sheetName val="CFLOW"/>
      <sheetName val="schedules"/>
      <sheetName val="SCH-D-DEPR"/>
      <sheetName val="SCH-E"/>
      <sheetName val="shed-N&amp;O"/>
      <sheetName val="Notes-1"/>
      <sheetName val="Notes-2"/>
      <sheetName val="BSabstrt"/>
      <sheetName val="subsidiary"/>
      <sheetName val="TB"/>
      <sheetName val="BS Chart"/>
      <sheetName val="P&amp;L Chart"/>
      <sheetName val="CREDITORS"/>
      <sheetName val="LOANS &amp; ADV"/>
      <sheetName val="DEBTORS"/>
      <sheetName val="CashBank-H"/>
      <sheetName val="INDIRECT EXP"/>
      <sheetName val="P&amp;L-1"/>
      <sheetName val="INVEN-F"/>
      <sheetName val="Investment-E"/>
      <sheetName val="Indirect Exp."/>
      <sheetName val="SL-C"/>
      <sheetName val="&lt; 6 MTHS &gt; 6 MTHS"/>
      <sheetName val="Direct Expenses "/>
      <sheetName val="Direct Income"/>
    </sheetNames>
    <sheetDataSet>
      <sheetData sheetId="3">
        <row r="53">
          <cell r="N53">
            <v>-28220162.41864893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P SHEET"/>
      <sheetName val="BS"/>
      <sheetName val="PL"/>
      <sheetName val="A-1 Share Capital"/>
      <sheetName val="A-2 Reserves and Surplus"/>
      <sheetName val="A3 Secured Loans"/>
      <sheetName val="A4 Fixed assets (2)"/>
      <sheetName val="A4 AFixed asset details"/>
      <sheetName val="A5 Debtors"/>
      <sheetName val="A6 Cash and Bank Balances"/>
      <sheetName val="A7 L&amp;A"/>
      <sheetName val="A 8Cur liab &amp; provis"/>
      <sheetName val="A9 Revenue"/>
      <sheetName val="A10 Other Income"/>
      <sheetName val="A11 personnel cost"/>
      <sheetName val="A11B Pf logic test"/>
      <sheetName val="Consultant fees"/>
      <sheetName val="A 12 operating &amp;admin cost"/>
      <sheetName val="A 14 Misc exp."/>
      <sheetName val="Fixed assets-6 (3)"/>
      <sheetName val="A13 Finance cost"/>
      <sheetName val="A14 A-Dep Logi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istingRangeDetails"/>
      <sheetName val="SUAD Final"/>
      <sheetName val="SUAD"/>
      <sheetName val="SUAD 1"/>
      <sheetName val="SUAD 9"/>
      <sheetName val="SUAD 10"/>
      <sheetName val="SUAD 12"/>
      <sheetName val="SUAD21,22,23,24,25,27,28"/>
      <sheetName val="SUAD 29"/>
      <sheetName val="SUAD 31"/>
      <sheetName val="SUAD 33"/>
      <sheetName val="SUAD 35"/>
      <sheetName val="SUAD 39"/>
      <sheetName val="SUAD 40"/>
      <sheetName val="SUAD 41"/>
      <sheetName val="SUAD 42 and 43"/>
      <sheetName val="SUAD 44"/>
      <sheetName val="SUAD 45, 46"/>
      <sheetName val="SUAD 47A"/>
      <sheetName val="SUAD 47B"/>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74"/>
  <sheetViews>
    <sheetView tabSelected="1" zoomScale="85" zoomScaleNormal="85" zoomScalePageLayoutView="0" workbookViewId="0" topLeftCell="B4">
      <pane ySplit="9" topLeftCell="A13" activePane="bottomLeft" state="frozen"/>
      <selection pane="topLeft" activeCell="B4" sqref="B4"/>
      <selection pane="bottomLeft" activeCell="F25" sqref="F25"/>
    </sheetView>
  </sheetViews>
  <sheetFormatPr defaultColWidth="9.140625" defaultRowHeight="12.75"/>
  <cols>
    <col min="1" max="1" width="2.421875" style="1" customWidth="1"/>
    <col min="2" max="2" width="6.00390625" style="1" customWidth="1"/>
    <col min="3" max="3" width="53.140625" style="1" customWidth="1"/>
    <col min="4" max="4" width="14.421875" style="4" customWidth="1"/>
    <col min="5" max="5" width="16.7109375" style="1" customWidth="1"/>
    <col min="6" max="6" width="17.00390625" style="4" bestFit="1" customWidth="1"/>
    <col min="7" max="7" width="14.00390625" style="1" customWidth="1"/>
    <col min="8" max="8" width="18.421875" style="1" hidden="1" customWidth="1"/>
    <col min="9" max="9" width="17.28125" style="1" hidden="1" customWidth="1"/>
    <col min="10" max="10" width="15.421875" style="4" customWidth="1"/>
    <col min="11" max="11" width="14.57421875" style="1" bestFit="1" customWidth="1"/>
    <col min="12" max="12" width="7.00390625" style="1" bestFit="1" customWidth="1"/>
    <col min="13" max="13" width="36.57421875" style="1" customWidth="1"/>
    <col min="14" max="14" width="11.8515625" style="4" customWidth="1"/>
    <col min="15" max="15" width="14.8515625" style="1" customWidth="1"/>
    <col min="16" max="16" width="15.421875" style="4" bestFit="1" customWidth="1"/>
    <col min="17" max="17" width="11.8515625" style="1" bestFit="1" customWidth="1"/>
    <col min="18" max="18" width="14.421875" style="4" bestFit="1" customWidth="1"/>
    <col min="19" max="19" width="14.421875" style="1" bestFit="1" customWidth="1"/>
    <col min="20" max="20" width="10.57421875" style="1" bestFit="1" customWidth="1"/>
    <col min="21" max="21" width="10.28125" style="1" bestFit="1" customWidth="1"/>
    <col min="22" max="16384" width="9.140625" style="1" customWidth="1"/>
  </cols>
  <sheetData>
    <row r="1" spans="2:16" ht="15">
      <c r="B1" s="2"/>
      <c r="C1" s="2"/>
      <c r="D1" s="3"/>
      <c r="E1" s="2"/>
      <c r="F1" s="3"/>
      <c r="G1" s="2"/>
      <c r="H1" s="2"/>
      <c r="I1" s="2"/>
      <c r="J1" s="3"/>
      <c r="K1" s="2"/>
      <c r="L1" s="2"/>
      <c r="M1" s="2"/>
      <c r="N1" s="3"/>
      <c r="O1" s="2"/>
      <c r="P1" s="3"/>
    </row>
    <row r="2" spans="1:19" ht="18.75">
      <c r="A2" s="2"/>
      <c r="B2" s="193" t="s">
        <v>0</v>
      </c>
      <c r="C2" s="194"/>
      <c r="D2" s="194"/>
      <c r="E2" s="194"/>
      <c r="F2" s="194"/>
      <c r="G2" s="194"/>
      <c r="H2" s="194"/>
      <c r="I2" s="194"/>
      <c r="J2" s="194"/>
      <c r="K2" s="194"/>
      <c r="L2" s="195"/>
      <c r="M2" s="5"/>
      <c r="N2" s="5"/>
      <c r="O2" s="5"/>
      <c r="P2" s="5"/>
      <c r="Q2" s="5"/>
      <c r="R2" s="6"/>
      <c r="S2" s="7"/>
    </row>
    <row r="3" spans="1:19" ht="16.5">
      <c r="A3" s="2"/>
      <c r="B3" s="196" t="s">
        <v>1</v>
      </c>
      <c r="C3" s="197"/>
      <c r="D3" s="197"/>
      <c r="E3" s="197"/>
      <c r="F3" s="197"/>
      <c r="G3" s="197"/>
      <c r="H3" s="197"/>
      <c r="I3" s="197"/>
      <c r="J3" s="197"/>
      <c r="K3" s="197"/>
      <c r="L3" s="198"/>
      <c r="M3" s="9"/>
      <c r="N3" s="9"/>
      <c r="O3" s="9"/>
      <c r="P3" s="9"/>
      <c r="Q3" s="9"/>
      <c r="R3" s="9"/>
      <c r="S3" s="10"/>
    </row>
    <row r="4" spans="1:19" ht="15">
      <c r="A4" s="2"/>
      <c r="B4" s="11"/>
      <c r="C4" s="2"/>
      <c r="D4" s="3"/>
      <c r="E4" s="2"/>
      <c r="F4" s="3"/>
      <c r="G4" s="2"/>
      <c r="H4" s="2"/>
      <c r="I4" s="2"/>
      <c r="J4" s="3"/>
      <c r="K4" s="2"/>
      <c r="L4" s="2"/>
      <c r="M4" s="11"/>
      <c r="N4" s="3"/>
      <c r="O4" s="2"/>
      <c r="P4" s="3"/>
      <c r="Q4" s="2"/>
      <c r="R4" s="3"/>
      <c r="S4" s="12"/>
    </row>
    <row r="5" spans="1:19" ht="16.5">
      <c r="A5" s="2"/>
      <c r="B5" s="196" t="s">
        <v>2</v>
      </c>
      <c r="C5" s="197"/>
      <c r="D5" s="197"/>
      <c r="E5" s="197"/>
      <c r="F5" s="197"/>
      <c r="G5" s="197"/>
      <c r="H5" s="197"/>
      <c r="I5" s="197"/>
      <c r="J5" s="197"/>
      <c r="K5" s="197"/>
      <c r="L5" s="2"/>
      <c r="M5" s="199" t="s">
        <v>3</v>
      </c>
      <c r="N5" s="200"/>
      <c r="O5" s="200"/>
      <c r="P5" s="200"/>
      <c r="Q5" s="200"/>
      <c r="R5" s="200"/>
      <c r="S5" s="201"/>
    </row>
    <row r="6" spans="2:19" ht="15">
      <c r="B6" s="13"/>
      <c r="C6" s="3"/>
      <c r="F6" s="14"/>
      <c r="H6" s="14"/>
      <c r="I6" s="14"/>
      <c r="J6" s="14"/>
      <c r="K6" s="15"/>
      <c r="L6" s="2"/>
      <c r="M6" s="11"/>
      <c r="N6" s="14"/>
      <c r="O6" s="15"/>
      <c r="P6" s="14"/>
      <c r="Q6" s="2"/>
      <c r="R6" s="202"/>
      <c r="S6" s="203"/>
    </row>
    <row r="7" spans="2:19" ht="16.5">
      <c r="B7" s="13"/>
      <c r="C7" s="3"/>
      <c r="D7" s="16"/>
      <c r="E7" s="17"/>
      <c r="F7" s="14"/>
      <c r="G7" s="17" t="s">
        <v>4</v>
      </c>
      <c r="H7" s="18" t="s">
        <v>5</v>
      </c>
      <c r="I7" s="18" t="s">
        <v>5</v>
      </c>
      <c r="J7" s="19"/>
      <c r="K7" s="20"/>
      <c r="L7" s="2"/>
      <c r="M7" s="11"/>
      <c r="N7" s="14"/>
      <c r="O7" s="15"/>
      <c r="P7" s="14"/>
      <c r="Q7" s="21"/>
      <c r="R7" s="204" t="s">
        <v>6</v>
      </c>
      <c r="S7" s="205"/>
    </row>
    <row r="8" spans="2:19" ht="16.5">
      <c r="B8" s="22"/>
      <c r="C8" s="23"/>
      <c r="D8" s="24"/>
      <c r="E8" s="25" t="s">
        <v>7</v>
      </c>
      <c r="F8" s="24"/>
      <c r="G8" s="26"/>
      <c r="H8" s="27"/>
      <c r="I8" s="18" t="s">
        <v>8</v>
      </c>
      <c r="J8" s="28"/>
      <c r="K8" s="29"/>
      <c r="L8" s="30"/>
      <c r="M8" s="24"/>
      <c r="N8" s="31"/>
      <c r="O8" s="29" t="s">
        <v>7</v>
      </c>
      <c r="P8" s="24"/>
      <c r="Q8" s="27"/>
      <c r="R8" s="32"/>
      <c r="S8" s="26"/>
    </row>
    <row r="9" spans="2:19" ht="16.5">
      <c r="B9" s="33"/>
      <c r="C9" s="12"/>
      <c r="D9" s="34" t="s">
        <v>9</v>
      </c>
      <c r="E9" s="20" t="s">
        <v>10</v>
      </c>
      <c r="F9" s="34" t="s">
        <v>11</v>
      </c>
      <c r="G9" s="35" t="s">
        <v>12</v>
      </c>
      <c r="H9" s="19" t="s">
        <v>13</v>
      </c>
      <c r="I9" s="19" t="s">
        <v>14</v>
      </c>
      <c r="J9" s="36" t="s">
        <v>15</v>
      </c>
      <c r="K9" s="35" t="s">
        <v>15</v>
      </c>
      <c r="L9" s="11"/>
      <c r="M9" s="37"/>
      <c r="N9" s="38" t="s">
        <v>9</v>
      </c>
      <c r="O9" s="35" t="s">
        <v>10</v>
      </c>
      <c r="P9" s="34" t="s">
        <v>11</v>
      </c>
      <c r="Q9" s="20" t="s">
        <v>12</v>
      </c>
      <c r="R9" s="34" t="s">
        <v>15</v>
      </c>
      <c r="S9" s="35" t="s">
        <v>15</v>
      </c>
    </row>
    <row r="10" spans="2:19" ht="16.5">
      <c r="B10" s="11"/>
      <c r="C10" s="12"/>
      <c r="D10" s="34" t="s">
        <v>16</v>
      </c>
      <c r="E10" s="20" t="s">
        <v>17</v>
      </c>
      <c r="F10" s="34" t="s">
        <v>16</v>
      </c>
      <c r="G10" s="35" t="s">
        <v>16</v>
      </c>
      <c r="H10" s="19" t="s">
        <v>18</v>
      </c>
      <c r="I10" s="19" t="s">
        <v>19</v>
      </c>
      <c r="J10" s="36" t="s">
        <v>20</v>
      </c>
      <c r="K10" s="35" t="s">
        <v>20</v>
      </c>
      <c r="L10" s="13" t="s">
        <v>21</v>
      </c>
      <c r="M10" s="34" t="s">
        <v>22</v>
      </c>
      <c r="N10" s="38" t="s">
        <v>16</v>
      </c>
      <c r="O10" s="35" t="s">
        <v>17</v>
      </c>
      <c r="P10" s="34" t="s">
        <v>16</v>
      </c>
      <c r="Q10" s="35" t="s">
        <v>16</v>
      </c>
      <c r="R10" s="38" t="s">
        <v>20</v>
      </c>
      <c r="S10" s="35" t="s">
        <v>20</v>
      </c>
    </row>
    <row r="11" spans="2:19" ht="15" customHeight="1">
      <c r="B11" s="33" t="s">
        <v>23</v>
      </c>
      <c r="C11" s="8" t="s">
        <v>24</v>
      </c>
      <c r="D11" s="19" t="s">
        <v>25</v>
      </c>
      <c r="E11" s="35" t="s">
        <v>26</v>
      </c>
      <c r="F11" s="19" t="s">
        <v>25</v>
      </c>
      <c r="G11" s="35" t="s">
        <v>26</v>
      </c>
      <c r="H11" s="19"/>
      <c r="I11" s="19"/>
      <c r="J11" s="19" t="s">
        <v>25</v>
      </c>
      <c r="K11" s="35" t="s">
        <v>26</v>
      </c>
      <c r="L11" s="36"/>
      <c r="M11" s="39"/>
      <c r="N11" s="19" t="s">
        <v>25</v>
      </c>
      <c r="O11" s="35" t="s">
        <v>26</v>
      </c>
      <c r="P11" s="19" t="s">
        <v>25</v>
      </c>
      <c r="Q11" s="35" t="s">
        <v>26</v>
      </c>
      <c r="R11" s="19" t="s">
        <v>25</v>
      </c>
      <c r="S11" s="35" t="s">
        <v>26</v>
      </c>
    </row>
    <row r="12" spans="2:19" ht="16.5">
      <c r="B12" s="40"/>
      <c r="C12" s="41"/>
      <c r="D12" s="42" t="s">
        <v>27</v>
      </c>
      <c r="E12" s="43" t="s">
        <v>27</v>
      </c>
      <c r="F12" s="42" t="s">
        <v>28</v>
      </c>
      <c r="G12" s="43" t="s">
        <v>28</v>
      </c>
      <c r="H12" s="44" t="s">
        <v>28</v>
      </c>
      <c r="I12" s="44" t="s">
        <v>28</v>
      </c>
      <c r="J12" s="45" t="s">
        <v>28</v>
      </c>
      <c r="K12" s="43" t="s">
        <v>28</v>
      </c>
      <c r="L12" s="46"/>
      <c r="M12" s="46"/>
      <c r="N12" s="42" t="s">
        <v>27</v>
      </c>
      <c r="O12" s="43" t="s">
        <v>27</v>
      </c>
      <c r="P12" s="42" t="s">
        <v>28</v>
      </c>
      <c r="Q12" s="43" t="s">
        <v>28</v>
      </c>
      <c r="R12" s="44" t="s">
        <v>28</v>
      </c>
      <c r="S12" s="43" t="s">
        <v>28</v>
      </c>
    </row>
    <row r="13" spans="2:19" ht="16.5">
      <c r="B13" s="47">
        <v>1</v>
      </c>
      <c r="C13" s="48" t="s">
        <v>29</v>
      </c>
      <c r="D13" s="49">
        <f>+F13-15442.91907575</f>
        <v>3167.8473143500014</v>
      </c>
      <c r="E13" s="50">
        <f>+G13-4133.58</f>
        <v>4754.727318199999</v>
      </c>
      <c r="F13" s="49">
        <f>'[1]P&amp;L Chart'!R16/100000</f>
        <v>18610.7663901</v>
      </c>
      <c r="G13" s="51">
        <v>8888.307318199999</v>
      </c>
      <c r="H13" s="50"/>
      <c r="I13" s="50"/>
      <c r="J13" s="49">
        <f>'[1]Consolidated'!K5+'[1]Consolidated'!K8</f>
        <v>20270.45541</v>
      </c>
      <c r="K13" s="50">
        <v>10664.438338199998</v>
      </c>
      <c r="L13" s="52">
        <v>1</v>
      </c>
      <c r="M13" s="53" t="s">
        <v>30</v>
      </c>
      <c r="N13" s="54"/>
      <c r="O13" s="55"/>
      <c r="P13" s="54"/>
      <c r="Q13" s="2"/>
      <c r="R13" s="3"/>
      <c r="S13" s="56"/>
    </row>
    <row r="14" spans="2:20" ht="16.5">
      <c r="B14" s="57"/>
      <c r="C14" s="58" t="s">
        <v>31</v>
      </c>
      <c r="D14" s="49">
        <f>F14-420.18312+27.97+0.01</f>
        <v>230.3904195833334</v>
      </c>
      <c r="E14" s="51">
        <f>G14-23.94+21.23</f>
        <v>108.92999999999999</v>
      </c>
      <c r="F14" s="49">
        <f>('[1]P&amp;L Chart'!R28+'[1]P&amp;L Chart'!R23)/100000</f>
        <v>622.5935395833334</v>
      </c>
      <c r="G14" s="59">
        <f>86.6+25.04</f>
        <v>111.63999999999999</v>
      </c>
      <c r="H14" s="50"/>
      <c r="I14" s="50"/>
      <c r="J14" s="49">
        <f>'[1]Consolidated'!P12+'[1]Consolidated'!K7</f>
        <v>691.0010795833333</v>
      </c>
      <c r="K14" s="50">
        <f>'[1]Consolidated'!Q12</f>
        <v>91.39781</v>
      </c>
      <c r="L14" s="52"/>
      <c r="M14" s="60" t="s">
        <v>32</v>
      </c>
      <c r="N14" s="61">
        <f>P14-15421.54</f>
        <v>3189.2263901000006</v>
      </c>
      <c r="O14" s="62">
        <f>Q14-4114.50549935</f>
        <v>4748.75765885</v>
      </c>
      <c r="P14" s="63">
        <f>'[1]P&amp;L Chart'!R16/100000</f>
        <v>18610.7663901</v>
      </c>
      <c r="Q14" s="62">
        <v>8863.2631582</v>
      </c>
      <c r="R14" s="54">
        <f>'[1]Consolidated'!K5</f>
        <v>18594.9470701</v>
      </c>
      <c r="S14" s="64">
        <v>8863.2631582</v>
      </c>
      <c r="T14" s="65"/>
    </row>
    <row r="15" spans="2:19" ht="16.5">
      <c r="B15" s="57"/>
      <c r="C15" s="66" t="s">
        <v>33</v>
      </c>
      <c r="D15" s="67">
        <f>D13+D14</f>
        <v>3398.2377339333348</v>
      </c>
      <c r="E15" s="68">
        <f aca="true" t="shared" si="0" ref="E15:K15">E13+E14</f>
        <v>4863.657318199999</v>
      </c>
      <c r="F15" s="67">
        <f>F13+F14</f>
        <v>19233.359929683334</v>
      </c>
      <c r="G15" s="68">
        <f t="shared" si="0"/>
        <v>8999.947318199998</v>
      </c>
      <c r="H15" s="67">
        <f t="shared" si="0"/>
        <v>0</v>
      </c>
      <c r="I15" s="67">
        <f t="shared" si="0"/>
        <v>0</v>
      </c>
      <c r="J15" s="67">
        <f t="shared" si="0"/>
        <v>20961.456489583332</v>
      </c>
      <c r="K15" s="68">
        <f t="shared" si="0"/>
        <v>10755.836148199998</v>
      </c>
      <c r="L15" s="52"/>
      <c r="M15" s="60" t="s">
        <v>34</v>
      </c>
      <c r="N15" s="61">
        <f>P15-27.97</f>
        <v>14.326767500000003</v>
      </c>
      <c r="O15" s="62">
        <f>Q15-21.234975</f>
        <v>39.44918500000001</v>
      </c>
      <c r="P15" s="63">
        <f>'[1]P&amp;L Chart'!R23/100000</f>
        <v>42.2967675</v>
      </c>
      <c r="Q15" s="62">
        <v>60.684160000000006</v>
      </c>
      <c r="R15" s="54">
        <f>'[1]Consolidated'!K7</f>
        <v>109.5043075</v>
      </c>
      <c r="S15" s="64">
        <v>25.04416</v>
      </c>
    </row>
    <row r="16" spans="2:19" ht="16.5">
      <c r="B16" s="57">
        <v>2</v>
      </c>
      <c r="C16" s="69" t="s">
        <v>35</v>
      </c>
      <c r="D16" s="63"/>
      <c r="E16" s="62"/>
      <c r="F16" s="63"/>
      <c r="G16" s="62"/>
      <c r="H16" s="63"/>
      <c r="I16" s="63"/>
      <c r="J16" s="63"/>
      <c r="K16" s="62"/>
      <c r="L16" s="52"/>
      <c r="M16" s="60" t="s">
        <v>36</v>
      </c>
      <c r="N16" s="61">
        <v>0</v>
      </c>
      <c r="O16" s="62">
        <v>0</v>
      </c>
      <c r="P16" s="63">
        <v>0</v>
      </c>
      <c r="Q16" s="62">
        <v>0</v>
      </c>
      <c r="R16" s="54">
        <f>'[1]Consolidated'!K8</f>
        <v>1675.5083399</v>
      </c>
      <c r="S16" s="64">
        <v>1776.13102</v>
      </c>
    </row>
    <row r="17" spans="2:20" ht="16.5">
      <c r="B17" s="70"/>
      <c r="C17" s="58" t="s">
        <v>37</v>
      </c>
      <c r="D17" s="63">
        <f>F17-12867.904253544</f>
        <v>2784.5801048144967</v>
      </c>
      <c r="E17" s="59">
        <f>G17-3231.56925</f>
        <v>4667.160749999999</v>
      </c>
      <c r="F17" s="49">
        <f>'[1]P&amp;L Chart'!R49/100000</f>
        <v>15652.484358358497</v>
      </c>
      <c r="G17" s="59">
        <v>7898.73</v>
      </c>
      <c r="H17" s="63"/>
      <c r="I17" s="63"/>
      <c r="J17" s="63">
        <f>'[1]Consolidated'!K12</f>
        <v>15652.484358358497</v>
      </c>
      <c r="K17" s="62">
        <f>10204.8312209-K19</f>
        <v>7898.731220899999</v>
      </c>
      <c r="L17" s="52"/>
      <c r="M17" s="60" t="s">
        <v>38</v>
      </c>
      <c r="N17" s="61">
        <f>P17-420.18</f>
        <v>1451.1810060833334</v>
      </c>
      <c r="O17" s="62">
        <f>Q17-23.94</f>
        <v>62.66</v>
      </c>
      <c r="P17" s="63">
        <f>'[1]P&amp;L Chart'!R34/100000</f>
        <v>1871.3610060833335</v>
      </c>
      <c r="Q17" s="62">
        <v>86.6</v>
      </c>
      <c r="R17" s="54">
        <f>'[1]Consolidated'!K9+'[1]Consolidated'!K6</f>
        <v>1714.2372860833336</v>
      </c>
      <c r="S17" s="64">
        <v>698.032279</v>
      </c>
      <c r="T17" s="65">
        <f>P17-R17</f>
        <v>157.12371999999982</v>
      </c>
    </row>
    <row r="18" spans="2:20" ht="16.5">
      <c r="B18" s="70"/>
      <c r="C18" s="58" t="s">
        <v>39</v>
      </c>
      <c r="D18" s="49">
        <f>F18-396.30152</f>
        <v>140.95218900625002</v>
      </c>
      <c r="E18" s="50">
        <f>G18-298.2362</f>
        <v>90.65249</v>
      </c>
      <c r="F18" s="49">
        <f>'[1]P&amp;L Chart'!R52/100000</f>
        <v>537.25370900625</v>
      </c>
      <c r="G18" s="51">
        <v>388.88869</v>
      </c>
      <c r="H18" s="50"/>
      <c r="I18" s="50"/>
      <c r="J18" s="49">
        <f>'[1]Consolidated'!K14</f>
        <v>881.02753420625</v>
      </c>
      <c r="K18" s="50">
        <v>689.3187955000001</v>
      </c>
      <c r="L18" s="52"/>
      <c r="M18" s="60" t="s">
        <v>40</v>
      </c>
      <c r="N18" s="63">
        <f>SUM(N14:N17)-0.01</f>
        <v>4654.724163683334</v>
      </c>
      <c r="O18" s="62">
        <f>SUM(O14:O17)</f>
        <v>4850.86684385</v>
      </c>
      <c r="P18" s="63">
        <f>SUM(P14:P17)</f>
        <v>20524.424163683336</v>
      </c>
      <c r="Q18" s="62">
        <v>9010.5373182</v>
      </c>
      <c r="R18" s="63">
        <f>SUM(R14:R17)</f>
        <v>22094.197003583333</v>
      </c>
      <c r="S18" s="71">
        <v>11362.4606172</v>
      </c>
      <c r="T18" s="65"/>
    </row>
    <row r="19" spans="2:20" ht="16.5">
      <c r="B19" s="70"/>
      <c r="C19" s="72" t="s">
        <v>41</v>
      </c>
      <c r="D19" s="49">
        <f>F19-2747.54946</f>
        <v>285.89065759999994</v>
      </c>
      <c r="E19" s="50">
        <f>G19-1181.52075</f>
        <v>1124.57925</v>
      </c>
      <c r="F19" s="49">
        <f>'[1]P&amp;L Chart'!R63/100000</f>
        <v>3033.4401176</v>
      </c>
      <c r="G19" s="51">
        <v>2306.1</v>
      </c>
      <c r="H19" s="50"/>
      <c r="I19" s="50"/>
      <c r="J19" s="49">
        <f>'[1]Consolidated'!K15</f>
        <v>3033.4401176</v>
      </c>
      <c r="K19" s="50">
        <f>G19</f>
        <v>2306.1</v>
      </c>
      <c r="L19" s="52"/>
      <c r="M19" s="60"/>
      <c r="N19" s="63"/>
      <c r="O19" s="62"/>
      <c r="P19" s="63"/>
      <c r="Q19" s="62"/>
      <c r="R19" s="63"/>
      <c r="S19" s="71"/>
      <c r="T19" s="65"/>
    </row>
    <row r="20" spans="2:19" ht="16.5">
      <c r="B20" s="70"/>
      <c r="C20" s="72" t="s">
        <v>42</v>
      </c>
      <c r="D20" s="49">
        <f>F20-189.210929121607</f>
        <v>115.99228278485177</v>
      </c>
      <c r="E20" s="50">
        <f>G20-137.139124314634</f>
        <v>49.38615568536602</v>
      </c>
      <c r="F20" s="49">
        <f>'[1]P&amp;L Chart'!R62/100000</f>
        <v>305.20321190645876</v>
      </c>
      <c r="G20" s="51">
        <v>186.52528</v>
      </c>
      <c r="H20" s="50"/>
      <c r="I20" s="50"/>
      <c r="J20" s="49">
        <f>'[1]Consolidated'!K16</f>
        <v>755.995904121438</v>
      </c>
      <c r="K20" s="50">
        <v>745.142640689899</v>
      </c>
      <c r="L20" s="52"/>
      <c r="M20" s="60" t="s">
        <v>43</v>
      </c>
      <c r="N20" s="61">
        <f>P20-6.59</f>
        <v>-3.05</v>
      </c>
      <c r="O20" s="62">
        <f>Q20-2.16</f>
        <v>33.47</v>
      </c>
      <c r="P20" s="63">
        <v>3.54</v>
      </c>
      <c r="Q20" s="62">
        <v>35.63</v>
      </c>
      <c r="R20" s="54">
        <f>'[1]Consolidated'!I10/100000</f>
        <v>265.88329</v>
      </c>
      <c r="S20" s="64">
        <v>35.63</v>
      </c>
    </row>
    <row r="21" spans="2:19" ht="16.5">
      <c r="B21" s="57"/>
      <c r="C21" s="72" t="s">
        <v>44</v>
      </c>
      <c r="D21" s="49">
        <f>F21-744.1661328</f>
        <v>245.4753944040981</v>
      </c>
      <c r="E21" s="50">
        <f>G21-395.1275653</f>
        <v>297.82243470000003</v>
      </c>
      <c r="F21" s="49">
        <f>('[1]P&amp;L Chart'!R53+'[1]P&amp;L Chart'!R54)/100000-F27</f>
        <v>989.6415272040981</v>
      </c>
      <c r="G21" s="51">
        <v>692.95</v>
      </c>
      <c r="H21" s="50"/>
      <c r="I21" s="50"/>
      <c r="J21" s="49">
        <f>'[1]Consolidated'!K17+'[1]Consolidated'!K13</f>
        <v>2312.637965104098</v>
      </c>
      <c r="K21" s="50">
        <v>2098.8194449000002</v>
      </c>
      <c r="L21" s="52"/>
      <c r="M21" s="60" t="s">
        <v>45</v>
      </c>
      <c r="N21" s="73">
        <f>+N18-N20</f>
        <v>4657.774163683334</v>
      </c>
      <c r="O21" s="74">
        <f>+O18-O20</f>
        <v>4817.39684385</v>
      </c>
      <c r="P21" s="63">
        <f>P18-P20</f>
        <v>20520.884163683335</v>
      </c>
      <c r="Q21" s="62">
        <v>8974.907318200001</v>
      </c>
      <c r="R21" s="63">
        <f>R18-R20</f>
        <v>21828.31371358333</v>
      </c>
      <c r="S21" s="71">
        <v>11326.830617200001</v>
      </c>
    </row>
    <row r="22" spans="2:19" ht="16.5">
      <c r="B22" s="57"/>
      <c r="C22" s="75" t="s">
        <v>46</v>
      </c>
      <c r="D22" s="49">
        <f>SUM(D17:D21)</f>
        <v>3572.8906286096967</v>
      </c>
      <c r="E22" s="50">
        <f>SUM(E17:E21)</f>
        <v>6229.601080385366</v>
      </c>
      <c r="F22" s="49">
        <f>SUM(F17:F21)-0.01</f>
        <v>20518.012924075305</v>
      </c>
      <c r="G22" s="50">
        <f>SUM(G17:G21)+0.01</f>
        <v>11473.20397</v>
      </c>
      <c r="H22" s="49">
        <f>SUM(H17:H21)</f>
        <v>0</v>
      </c>
      <c r="I22" s="49">
        <f>SUM(I17:I21)</f>
        <v>0</v>
      </c>
      <c r="J22" s="49">
        <f>SUM(J17:J21)</f>
        <v>22635.585879390284</v>
      </c>
      <c r="K22" s="50">
        <f>SUM(K17:K21)</f>
        <v>13738.112101989898</v>
      </c>
      <c r="L22" s="52"/>
      <c r="M22" s="76"/>
      <c r="N22" s="61"/>
      <c r="O22" s="62"/>
      <c r="P22" s="63"/>
      <c r="Q22" s="62"/>
      <c r="R22" s="54"/>
      <c r="S22" s="64"/>
    </row>
    <row r="23" spans="2:19" ht="16.5">
      <c r="B23" s="57">
        <v>3</v>
      </c>
      <c r="C23" s="69" t="s">
        <v>47</v>
      </c>
      <c r="D23" s="49"/>
      <c r="E23" s="51"/>
      <c r="F23" s="77"/>
      <c r="G23" s="51"/>
      <c r="H23" s="51"/>
      <c r="I23" s="51"/>
      <c r="J23" s="77"/>
      <c r="K23" s="51"/>
      <c r="L23" s="52">
        <v>2</v>
      </c>
      <c r="M23" s="53" t="s">
        <v>48</v>
      </c>
      <c r="N23" s="63"/>
      <c r="O23" s="62"/>
      <c r="P23" s="63"/>
      <c r="Q23" s="62"/>
      <c r="R23" s="54"/>
      <c r="S23" s="64"/>
    </row>
    <row r="24" spans="2:19" ht="16.5">
      <c r="B24" s="57"/>
      <c r="C24" s="69" t="s">
        <v>49</v>
      </c>
      <c r="D24" s="49">
        <f>+D13+D14-D22</f>
        <v>-174.65289467636194</v>
      </c>
      <c r="E24" s="68">
        <f>E15-E22</f>
        <v>-1365.9437621853667</v>
      </c>
      <c r="F24" s="49">
        <f>F15-F22</f>
        <v>-1284.6529943919704</v>
      </c>
      <c r="G24" s="68">
        <f>G15-G22+0.01</f>
        <v>-2473.246651800002</v>
      </c>
      <c r="H24" s="49">
        <f>+H13+H14-H22</f>
        <v>0</v>
      </c>
      <c r="I24" s="49">
        <f>+I13+I14-I22</f>
        <v>0</v>
      </c>
      <c r="J24" s="49">
        <f>+J13+J14-J22</f>
        <v>-1674.1293898069525</v>
      </c>
      <c r="K24" s="68">
        <f>K15-K22+0.01</f>
        <v>-2982.2659537899</v>
      </c>
      <c r="L24" s="52"/>
      <c r="M24" s="60" t="s">
        <v>50</v>
      </c>
      <c r="N24" s="63"/>
      <c r="O24" s="62"/>
      <c r="P24" s="63"/>
      <c r="Q24" s="62"/>
      <c r="R24" s="54"/>
      <c r="S24" s="64"/>
    </row>
    <row r="25" spans="2:19" ht="16.5">
      <c r="B25" s="57">
        <v>4</v>
      </c>
      <c r="C25" s="58" t="s">
        <v>51</v>
      </c>
      <c r="D25" s="49">
        <f>F25-268.6165201-27.97</f>
        <v>994.4777139000001</v>
      </c>
      <c r="E25" s="50">
        <f>G25-243.26-21.23</f>
        <v>157.32000000000002</v>
      </c>
      <c r="F25" s="49">
        <f>('[1]P&amp;L Chart'!R34-'[1]P&amp;L Chart'!R28)/100000</f>
        <v>1291.0642340000002</v>
      </c>
      <c r="G25" s="51">
        <f>446.85-25.04</f>
        <v>421.81</v>
      </c>
      <c r="H25" s="49">
        <v>0</v>
      </c>
      <c r="I25" s="49">
        <v>0</v>
      </c>
      <c r="J25" s="49">
        <f>'[1]Consolidated'!K7+'[1]Consolidated'!K9+'[1]Consolidated'!K6-J14</f>
        <v>1132.7405140000005</v>
      </c>
      <c r="K25" s="50">
        <f>698.032279-K14</f>
        <v>606.634469</v>
      </c>
      <c r="L25" s="52"/>
      <c r="M25" s="60" t="s">
        <v>52</v>
      </c>
      <c r="N25" s="63"/>
      <c r="O25" s="62"/>
      <c r="P25" s="63"/>
      <c r="Q25" s="62"/>
      <c r="R25" s="54"/>
      <c r="S25" s="64"/>
    </row>
    <row r="26" spans="2:19" ht="16.5">
      <c r="B26" s="57">
        <v>5</v>
      </c>
      <c r="C26" s="69" t="s">
        <v>53</v>
      </c>
      <c r="D26" s="49">
        <f>+D24+D25+0.01</f>
        <v>819.8348192236382</v>
      </c>
      <c r="E26" s="50">
        <f>E24+E25</f>
        <v>-1208.6237621853668</v>
      </c>
      <c r="F26" s="49">
        <f>+F24+F25</f>
        <v>6.411239608029746</v>
      </c>
      <c r="G26" s="50">
        <f>G24+G25</f>
        <v>-2051.436651800002</v>
      </c>
      <c r="H26" s="49">
        <f>+H24+H25</f>
        <v>0</v>
      </c>
      <c r="I26" s="49">
        <f>+I24+I25</f>
        <v>0</v>
      </c>
      <c r="J26" s="49">
        <f>+J24+J25</f>
        <v>-541.388875806952</v>
      </c>
      <c r="K26" s="50">
        <f>+K24+K25</f>
        <v>-2375.6314847899</v>
      </c>
      <c r="L26" s="52"/>
      <c r="M26" s="60" t="s">
        <v>32</v>
      </c>
      <c r="N26" s="61">
        <f>P26-(-925.35)</f>
        <v>-158.0539988160334</v>
      </c>
      <c r="O26" s="62">
        <f>Q26-(-739.667438424321)</f>
        <v>-1084.6325615756791</v>
      </c>
      <c r="P26" s="63">
        <f>'[1]P&amp;L Chart'!AA66</f>
        <v>-1083.4039988160334</v>
      </c>
      <c r="Q26" s="62">
        <v>-1824.3</v>
      </c>
      <c r="R26" s="54">
        <f>P26</f>
        <v>-1083.4039988160334</v>
      </c>
      <c r="S26" s="64">
        <v>-1341.568062700001</v>
      </c>
    </row>
    <row r="27" spans="2:19" ht="16.5">
      <c r="B27" s="57">
        <v>6</v>
      </c>
      <c r="C27" s="58" t="s">
        <v>54</v>
      </c>
      <c r="D27" s="49">
        <f>F27-428.337317043685</f>
        <v>177.3041017291401</v>
      </c>
      <c r="E27" s="51">
        <f>G27-352.308181935484</f>
        <v>18.155458164516062</v>
      </c>
      <c r="F27" s="49">
        <f>'[1]Indirect Exp.'!S21/100000</f>
        <v>605.6414187728251</v>
      </c>
      <c r="G27" s="51">
        <v>370.4636401000001</v>
      </c>
      <c r="H27" s="49"/>
      <c r="I27" s="49"/>
      <c r="J27" s="49">
        <f>'[1]Consolidated'!K19</f>
        <v>706.174016372825</v>
      </c>
      <c r="K27" s="50">
        <v>684.7673375</v>
      </c>
      <c r="L27" s="52"/>
      <c r="M27" s="60" t="s">
        <v>34</v>
      </c>
      <c r="N27" s="61">
        <f>P27-(-55.01)</f>
        <v>-1.8608424999999968</v>
      </c>
      <c r="O27" s="62">
        <f>Q27-(-70.1789250408154)</f>
        <v>-23.061074959184594</v>
      </c>
      <c r="P27" s="63">
        <f>'[1]P&amp;L Chart'!AB66</f>
        <v>-56.870842499999995</v>
      </c>
      <c r="Q27" s="62">
        <v>-93.24</v>
      </c>
      <c r="R27" s="54">
        <f>P27+'[1]Consolidated'!K7</f>
        <v>52.633465</v>
      </c>
      <c r="S27" s="64">
        <v>26.053656799999995</v>
      </c>
    </row>
    <row r="28" spans="2:19" ht="16.5">
      <c r="B28" s="57">
        <v>7</v>
      </c>
      <c r="C28" s="69" t="s">
        <v>55</v>
      </c>
      <c r="D28" s="49">
        <f>+D26-D27</f>
        <v>642.530717494498</v>
      </c>
      <c r="E28" s="50">
        <f>E26-E27</f>
        <v>-1226.779220349883</v>
      </c>
      <c r="F28" s="49">
        <f>+F26-F27</f>
        <v>-599.2301791647953</v>
      </c>
      <c r="G28" s="50">
        <f>G26-G27</f>
        <v>-2421.9002919000022</v>
      </c>
      <c r="H28" s="49">
        <f>+H26-H27</f>
        <v>0</v>
      </c>
      <c r="I28" s="49">
        <f>+I26-I27</f>
        <v>0</v>
      </c>
      <c r="J28" s="49">
        <f>+J26-J27</f>
        <v>-1247.562892179777</v>
      </c>
      <c r="K28" s="50">
        <f>K26-K27</f>
        <v>-3060.3988222898997</v>
      </c>
      <c r="L28" s="52"/>
      <c r="M28" s="60" t="str">
        <f>+M16</f>
        <v>Fees from students</v>
      </c>
      <c r="N28" s="61">
        <v>0</v>
      </c>
      <c r="O28" s="62">
        <v>0</v>
      </c>
      <c r="P28" s="63">
        <v>0</v>
      </c>
      <c r="Q28" s="62">
        <v>0</v>
      </c>
      <c r="R28" s="54">
        <v>-626</v>
      </c>
      <c r="S28" s="64">
        <v>-624.08</v>
      </c>
    </row>
    <row r="29" spans="2:20" ht="16.5">
      <c r="B29" s="57">
        <v>8</v>
      </c>
      <c r="C29" s="58" t="s">
        <v>56</v>
      </c>
      <c r="D29" s="49">
        <v>0</v>
      </c>
      <c r="E29" s="51">
        <v>0</v>
      </c>
      <c r="F29" s="49">
        <v>0</v>
      </c>
      <c r="G29" s="51">
        <v>0</v>
      </c>
      <c r="H29" s="50"/>
      <c r="I29" s="50"/>
      <c r="J29" s="49">
        <v>0</v>
      </c>
      <c r="K29" s="50">
        <v>0</v>
      </c>
      <c r="L29" s="52"/>
      <c r="M29" s="60" t="s">
        <v>38</v>
      </c>
      <c r="N29" s="61">
        <f>P29-392.63</f>
        <v>107.72269208333336</v>
      </c>
      <c r="O29" s="62">
        <f>Q29-23.94</f>
        <v>62.66</v>
      </c>
      <c r="P29" s="63">
        <f>'[1]P&amp;L Chart'!AD66</f>
        <v>500.35269208333335</v>
      </c>
      <c r="Q29" s="62">
        <v>86.6</v>
      </c>
      <c r="R29" s="54">
        <v>657.48</v>
      </c>
      <c r="S29" s="64">
        <v>698.032279</v>
      </c>
      <c r="T29" s="65"/>
    </row>
    <row r="30" spans="2:19" ht="16.5">
      <c r="B30" s="57">
        <v>9</v>
      </c>
      <c r="C30" s="69" t="s">
        <v>57</v>
      </c>
      <c r="D30" s="49">
        <f>+D28-D29</f>
        <v>642.530717494498</v>
      </c>
      <c r="E30" s="50">
        <f>+E28-E29</f>
        <v>-1226.779220349883</v>
      </c>
      <c r="F30" s="49">
        <f>+F28-F29</f>
        <v>-599.2301791647953</v>
      </c>
      <c r="G30" s="50">
        <v>-2421.9002919000013</v>
      </c>
      <c r="H30" s="49">
        <f>+H28-H29</f>
        <v>0</v>
      </c>
      <c r="I30" s="49">
        <f>+I28-I29</f>
        <v>0</v>
      </c>
      <c r="J30" s="49">
        <f>+J28-J29</f>
        <v>-1247.562892179777</v>
      </c>
      <c r="K30" s="50">
        <v>-3060.4088222899004</v>
      </c>
      <c r="L30" s="52"/>
      <c r="M30" s="60" t="s">
        <v>40</v>
      </c>
      <c r="N30" s="63">
        <f>SUM(N26:N29)</f>
        <v>-52.19214923270005</v>
      </c>
      <c r="O30" s="62">
        <f>SUM(O26:O29)</f>
        <v>-1045.0336365348637</v>
      </c>
      <c r="P30" s="63">
        <f>SUM(P26:P29)</f>
        <v>-639.9221492327001</v>
      </c>
      <c r="Q30" s="62">
        <v>-1830.94</v>
      </c>
      <c r="R30" s="63">
        <f>SUM(R26:R29)-0.01</f>
        <v>-999.3005338160335</v>
      </c>
      <c r="S30" s="71">
        <f>SUM(S26:S29)-0.01</f>
        <v>-1241.5721269000012</v>
      </c>
    </row>
    <row r="31" spans="2:19" ht="16.5">
      <c r="B31" s="57">
        <v>10</v>
      </c>
      <c r="C31" s="58" t="s">
        <v>58</v>
      </c>
      <c r="D31" s="49">
        <f>F31-17.08875</f>
        <v>0</v>
      </c>
      <c r="E31" s="51">
        <f>G31-(-0.12)</f>
        <v>2.69768</v>
      </c>
      <c r="F31" s="77">
        <f>'[1]P&amp;L Chart'!R64/100000</f>
        <v>17.08875</v>
      </c>
      <c r="G31" s="51">
        <v>2.57768</v>
      </c>
      <c r="H31" s="51">
        <f>+H26-H28-H29-H30</f>
        <v>0</v>
      </c>
      <c r="I31" s="51">
        <f>+I26-I28-I29-I30</f>
        <v>0</v>
      </c>
      <c r="J31" s="77">
        <f>'[1]Consolidated'!K23+'[1]Consolidated'!K24</f>
        <v>17.358749999999986</v>
      </c>
      <c r="K31" s="51">
        <v>3.25624</v>
      </c>
      <c r="L31" s="52"/>
      <c r="M31" s="11"/>
      <c r="N31" s="3"/>
      <c r="O31" s="2"/>
      <c r="P31" s="3"/>
      <c r="Q31" s="2"/>
      <c r="R31" s="54"/>
      <c r="S31" s="64"/>
    </row>
    <row r="32" spans="2:19" ht="16.5">
      <c r="B32" s="57">
        <v>11</v>
      </c>
      <c r="C32" s="69" t="s">
        <v>59</v>
      </c>
      <c r="D32" s="49">
        <f>+D30-D31</f>
        <v>642.530717494498</v>
      </c>
      <c r="E32" s="68">
        <f>E30-E31</f>
        <v>-1229.476900349883</v>
      </c>
      <c r="F32" s="49">
        <f>+F30-F31</f>
        <v>-616.3189291647953</v>
      </c>
      <c r="G32" s="50">
        <v>-2424.477971900001</v>
      </c>
      <c r="H32" s="49">
        <f>+H30-H31</f>
        <v>0</v>
      </c>
      <c r="I32" s="49">
        <f>+I30-I31</f>
        <v>0</v>
      </c>
      <c r="J32" s="49">
        <f>+J30-J31</f>
        <v>-1264.9216421797769</v>
      </c>
      <c r="K32" s="50">
        <v>-3063.6650622899006</v>
      </c>
      <c r="L32" s="52"/>
      <c r="M32" s="60" t="s">
        <v>60</v>
      </c>
      <c r="N32" s="61">
        <f>P32-428.34</f>
        <v>177.30141877282512</v>
      </c>
      <c r="O32" s="62">
        <f>Q32-352.308181935484</f>
        <v>18.155458164516062</v>
      </c>
      <c r="P32" s="63">
        <f>+F27</f>
        <v>605.6414187728251</v>
      </c>
      <c r="Q32" s="62">
        <v>370.4636401000001</v>
      </c>
      <c r="R32" s="54">
        <f>+J27</f>
        <v>706.174016372825</v>
      </c>
      <c r="S32" s="64">
        <v>684.7673375</v>
      </c>
    </row>
    <row r="33" spans="2:19" ht="16.5">
      <c r="B33" s="57">
        <v>12</v>
      </c>
      <c r="C33" s="58" t="s">
        <v>61</v>
      </c>
      <c r="D33" s="49">
        <v>0</v>
      </c>
      <c r="E33" s="51">
        <v>0</v>
      </c>
      <c r="F33" s="77">
        <v>0</v>
      </c>
      <c r="G33" s="51">
        <v>0</v>
      </c>
      <c r="H33" s="51">
        <f>+H31-H32</f>
        <v>0</v>
      </c>
      <c r="I33" s="51">
        <f>+I31-I32</f>
        <v>0</v>
      </c>
      <c r="J33" s="77">
        <v>0</v>
      </c>
      <c r="K33" s="51">
        <v>0</v>
      </c>
      <c r="L33" s="78"/>
      <c r="M33" s="60" t="s">
        <v>148</v>
      </c>
      <c r="N33" s="61"/>
      <c r="O33" s="62"/>
      <c r="P33" s="63"/>
      <c r="Q33" s="62"/>
      <c r="R33" s="54"/>
      <c r="S33" s="64"/>
    </row>
    <row r="34" spans="2:19" ht="16.5">
      <c r="B34" s="57">
        <v>13</v>
      </c>
      <c r="C34" s="69" t="s">
        <v>62</v>
      </c>
      <c r="D34" s="49">
        <f>+D32-D33</f>
        <v>642.530717494498</v>
      </c>
      <c r="E34" s="68">
        <f>+E32-E33</f>
        <v>-1229.476900349883</v>
      </c>
      <c r="F34" s="49">
        <f>+F32-F33</f>
        <v>-616.3189291647953</v>
      </c>
      <c r="G34" s="50">
        <v>-2424.477971900001</v>
      </c>
      <c r="H34" s="49">
        <f>+H32-H33</f>
        <v>0</v>
      </c>
      <c r="I34" s="49">
        <f>+I32-I33</f>
        <v>0</v>
      </c>
      <c r="J34" s="49">
        <f>+J32-J33</f>
        <v>-1264.9216421797769</v>
      </c>
      <c r="K34" s="50">
        <v>-3063.6650622899006</v>
      </c>
      <c r="L34" s="78"/>
      <c r="M34" s="60" t="s">
        <v>149</v>
      </c>
      <c r="N34" s="61">
        <f>P34-(-225.68)</f>
        <v>872.0033924471875</v>
      </c>
      <c r="O34" s="62">
        <f>Q34-(-56.9079963748875)</f>
        <v>-163.6120036251125</v>
      </c>
      <c r="P34" s="63">
        <f>'[1]P&amp;L Chart'!AC66</f>
        <v>646.3233924471874</v>
      </c>
      <c r="Q34" s="62">
        <v>-220.52</v>
      </c>
      <c r="R34" s="54">
        <f>405.38+193.46-1056.75</f>
        <v>-457.90999999999997</v>
      </c>
      <c r="S34" s="64">
        <f>3534.2758578899-2400.22</f>
        <v>1134.0558578899004</v>
      </c>
    </row>
    <row r="35" spans="2:21" ht="16.5">
      <c r="B35" s="57">
        <v>14</v>
      </c>
      <c r="C35" s="58" t="s">
        <v>63</v>
      </c>
      <c r="D35" s="49">
        <v>0</v>
      </c>
      <c r="E35" s="68">
        <v>0</v>
      </c>
      <c r="F35" s="49">
        <v>0</v>
      </c>
      <c r="G35" s="50">
        <v>0</v>
      </c>
      <c r="H35" s="49"/>
      <c r="I35" s="49"/>
      <c r="J35" s="49">
        <f>'[1]Consolidated'!K30</f>
        <v>300.034</v>
      </c>
      <c r="K35" s="50">
        <v>0</v>
      </c>
      <c r="L35" s="78"/>
      <c r="M35" s="62" t="s">
        <v>64</v>
      </c>
      <c r="N35" s="63">
        <f>+N30-N32+N34+0.02</f>
        <v>642.5298244416623</v>
      </c>
      <c r="O35" s="79">
        <f>+O30-O32+O34+0.02</f>
        <v>-1226.7810983244924</v>
      </c>
      <c r="P35" s="63">
        <f>+P30-P32+P34+0.01</f>
        <v>-599.2301755583378</v>
      </c>
      <c r="Q35" s="62">
        <f>+Q30-Q32+Q34+0.02</f>
        <v>-2421.9036401000003</v>
      </c>
      <c r="R35" s="63">
        <f>+R30-R32-R34</f>
        <v>-1247.5645501888584</v>
      </c>
      <c r="S35" s="71">
        <f>+S30-S32-S34</f>
        <v>-3060.3953222899017</v>
      </c>
      <c r="T35" s="65"/>
      <c r="U35" s="65"/>
    </row>
    <row r="36" spans="2:19" ht="16.5">
      <c r="B36" s="57">
        <v>15</v>
      </c>
      <c r="C36" s="58" t="s">
        <v>65</v>
      </c>
      <c r="D36" s="49">
        <v>0</v>
      </c>
      <c r="E36" s="68">
        <v>0</v>
      </c>
      <c r="F36" s="49">
        <v>0</v>
      </c>
      <c r="G36" s="50">
        <v>0</v>
      </c>
      <c r="H36" s="49"/>
      <c r="I36" s="49"/>
      <c r="J36" s="49">
        <f>'[1]Consolidated'!K31</f>
        <v>0.005799760000000001</v>
      </c>
      <c r="K36" s="50">
        <v>0</v>
      </c>
      <c r="L36" s="78"/>
      <c r="N36" s="80"/>
      <c r="O36" s="80"/>
      <c r="P36" s="80"/>
      <c r="Q36" s="80"/>
      <c r="R36" s="80"/>
      <c r="S36" s="81"/>
    </row>
    <row r="37" spans="2:19" ht="16.5">
      <c r="B37" s="57">
        <v>16</v>
      </c>
      <c r="C37" s="69" t="s">
        <v>66</v>
      </c>
      <c r="D37" s="49">
        <f>D34+D35+D36</f>
        <v>642.530717494498</v>
      </c>
      <c r="E37" s="50">
        <f aca="true" t="shared" si="1" ref="E37:K37">E34+E35+E36</f>
        <v>-1229.476900349883</v>
      </c>
      <c r="F37" s="49">
        <f t="shared" si="1"/>
        <v>-616.3189291647953</v>
      </c>
      <c r="G37" s="50">
        <f t="shared" si="1"/>
        <v>-2424.477971900001</v>
      </c>
      <c r="H37" s="49">
        <f t="shared" si="1"/>
        <v>0</v>
      </c>
      <c r="I37" s="49">
        <f t="shared" si="1"/>
        <v>0</v>
      </c>
      <c r="J37" s="49">
        <f t="shared" si="1"/>
        <v>-964.881842419777</v>
      </c>
      <c r="K37" s="49">
        <f t="shared" si="1"/>
        <v>-3063.6650622899006</v>
      </c>
      <c r="L37" s="52">
        <v>3</v>
      </c>
      <c r="M37" s="53" t="s">
        <v>67</v>
      </c>
      <c r="N37" s="63"/>
      <c r="O37" s="62"/>
      <c r="P37" s="63"/>
      <c r="Q37" s="62"/>
      <c r="R37" s="54"/>
      <c r="S37" s="64"/>
    </row>
    <row r="38" spans="2:19" ht="16.5">
      <c r="B38" s="57">
        <v>17</v>
      </c>
      <c r="C38" s="58" t="s">
        <v>68</v>
      </c>
      <c r="D38" s="49">
        <v>1129.06</v>
      </c>
      <c r="E38" s="50">
        <v>1129.06</v>
      </c>
      <c r="F38" s="49">
        <v>1129.06</v>
      </c>
      <c r="G38" s="50">
        <v>1129.06</v>
      </c>
      <c r="H38" s="49">
        <v>1126.06</v>
      </c>
      <c r="I38" s="49">
        <v>1126.06</v>
      </c>
      <c r="J38" s="49">
        <v>1129.06</v>
      </c>
      <c r="K38" s="50">
        <v>1129.06</v>
      </c>
      <c r="L38" s="52"/>
      <c r="M38" s="70" t="s">
        <v>69</v>
      </c>
      <c r="N38" s="82"/>
      <c r="O38" s="83"/>
      <c r="P38" s="82"/>
      <c r="Q38" s="62"/>
      <c r="R38" s="54"/>
      <c r="S38" s="64"/>
    </row>
    <row r="39" spans="2:20" ht="16.5">
      <c r="B39" s="11"/>
      <c r="D39" s="49"/>
      <c r="E39" s="59"/>
      <c r="F39" s="49"/>
      <c r="G39" s="59"/>
      <c r="H39" s="49"/>
      <c r="I39" s="49"/>
      <c r="J39" s="49"/>
      <c r="K39" s="50"/>
      <c r="L39" s="84"/>
      <c r="M39" s="70" t="s">
        <v>70</v>
      </c>
      <c r="N39" s="61">
        <f>P39</f>
        <v>3838.9659567116596</v>
      </c>
      <c r="O39" s="62">
        <v>2851.55</v>
      </c>
      <c r="P39" s="82">
        <f>'[1]BS Chart'!V65</f>
        <v>3838.9659567116596</v>
      </c>
      <c r="Q39" s="62">
        <v>2851.55</v>
      </c>
      <c r="R39" s="54">
        <f>P39</f>
        <v>3838.9659567116596</v>
      </c>
      <c r="S39" s="64">
        <f>Q39</f>
        <v>2851.55</v>
      </c>
      <c r="T39" s="65"/>
    </row>
    <row r="40" spans="2:19" ht="16.5">
      <c r="B40" s="57">
        <v>18</v>
      </c>
      <c r="C40" s="58" t="s">
        <v>71</v>
      </c>
      <c r="D40" s="63">
        <v>0</v>
      </c>
      <c r="E40" s="59">
        <v>0</v>
      </c>
      <c r="F40" s="63">
        <f>SUM('[1]BS Chart'!T9:T14)/100000</f>
        <v>8488.9548075352</v>
      </c>
      <c r="G40" s="59">
        <v>9105.24</v>
      </c>
      <c r="H40" s="50"/>
      <c r="I40" s="50">
        <v>1129.06</v>
      </c>
      <c r="J40" s="49">
        <f>SUM('[1]Consolidated'!K51:K53)</f>
        <v>3769.1800445516355</v>
      </c>
      <c r="K40" s="50">
        <v>4733.56</v>
      </c>
      <c r="L40" s="13"/>
      <c r="M40" s="70" t="s">
        <v>72</v>
      </c>
      <c r="N40" s="61">
        <f>P40</f>
        <v>663.6133996</v>
      </c>
      <c r="O40" s="50">
        <v>731.17</v>
      </c>
      <c r="P40" s="82">
        <f>'[1]BS Chart'!W65</f>
        <v>663.6133996</v>
      </c>
      <c r="Q40" s="50">
        <v>731.17</v>
      </c>
      <c r="R40" s="54">
        <f>P40</f>
        <v>663.6133996</v>
      </c>
      <c r="S40" s="64">
        <f>Q40</f>
        <v>731.17</v>
      </c>
    </row>
    <row r="41" spans="2:21" ht="16.5">
      <c r="B41" s="57">
        <v>19</v>
      </c>
      <c r="C41" s="58" t="s">
        <v>73</v>
      </c>
      <c r="D41" s="85"/>
      <c r="E41" s="86"/>
      <c r="F41" s="85"/>
      <c r="G41" s="86"/>
      <c r="H41" s="85">
        <f>+H33*100000/22581200</f>
        <v>0</v>
      </c>
      <c r="I41" s="85">
        <f>+I33*100000/22581200</f>
        <v>0</v>
      </c>
      <c r="J41" s="85"/>
      <c r="K41" s="86"/>
      <c r="L41" s="13"/>
      <c r="M41" s="87" t="str">
        <f>+M28</f>
        <v>Fees from students</v>
      </c>
      <c r="N41" s="61">
        <f>P41</f>
        <v>0</v>
      </c>
      <c r="O41" s="50">
        <v>0</v>
      </c>
      <c r="P41" s="62">
        <v>0</v>
      </c>
      <c r="Q41" s="50">
        <v>0</v>
      </c>
      <c r="R41" s="54">
        <f>'[1]Consolidated'!O85/100000</f>
        <v>-908.4797185738028</v>
      </c>
      <c r="S41" s="64">
        <f>'[2]Consolidated'!$N$53/100000</f>
        <v>-282.2016241864893</v>
      </c>
      <c r="U41" s="65"/>
    </row>
    <row r="42" spans="2:21" ht="16.5">
      <c r="B42" s="57"/>
      <c r="C42" s="58" t="s">
        <v>74</v>
      </c>
      <c r="D42" s="88">
        <f>D34/((D54+D44)/100000)</f>
        <v>2.845423261361212</v>
      </c>
      <c r="E42" s="89">
        <f>E34/((E54+E44)/100000)</f>
        <v>-5.4446924891054636</v>
      </c>
      <c r="F42" s="88">
        <f>F34/((F54+F44)/100000)</f>
        <v>-2.729345336672964</v>
      </c>
      <c r="G42" s="89">
        <f>G34/((G54+G44)/100000)</f>
        <v>-10.736710059252834</v>
      </c>
      <c r="H42" s="85">
        <f>H33*100000/22581200</f>
        <v>0</v>
      </c>
      <c r="I42" s="85">
        <f>I33*100000/22581200</f>
        <v>0</v>
      </c>
      <c r="J42" s="89">
        <f>J34/((J54+J44)/100000)</f>
        <v>-5.6016582031945905</v>
      </c>
      <c r="K42" s="89">
        <f>K34/((K54+K44)/100000)</f>
        <v>-13.567326192983103</v>
      </c>
      <c r="L42" s="90"/>
      <c r="M42" s="87" t="s">
        <v>38</v>
      </c>
      <c r="N42" s="61">
        <f>P42</f>
        <v>1105.8358992777755</v>
      </c>
      <c r="O42" s="50">
        <v>1115.89</v>
      </c>
      <c r="P42" s="62">
        <f>'[1]BS Chart'!Y65</f>
        <v>1105.8358992777755</v>
      </c>
      <c r="Q42" s="50">
        <v>1115.89</v>
      </c>
      <c r="R42" s="54">
        <f>P42-0.01</f>
        <v>1105.8258992777755</v>
      </c>
      <c r="S42" s="55">
        <f>Q42</f>
        <v>1115.89</v>
      </c>
      <c r="T42" s="11"/>
      <c r="U42" s="65"/>
    </row>
    <row r="43" spans="2:21" ht="16.5">
      <c r="B43" s="57">
        <v>20</v>
      </c>
      <c r="C43" s="58" t="s">
        <v>75</v>
      </c>
      <c r="D43" s="49"/>
      <c r="E43" s="50"/>
      <c r="F43" s="49"/>
      <c r="G43" s="50"/>
      <c r="H43" s="50"/>
      <c r="I43" s="50"/>
      <c r="J43" s="49"/>
      <c r="K43" s="50"/>
      <c r="L43" s="90"/>
      <c r="M43" s="87" t="s">
        <v>76</v>
      </c>
      <c r="N43" s="61">
        <f>P43</f>
        <v>4009.7146010522247</v>
      </c>
      <c r="O43" s="50">
        <v>5535.945981150001</v>
      </c>
      <c r="P43" s="62">
        <f>'[1]BS Chart'!X65</f>
        <v>4009.7146010522247</v>
      </c>
      <c r="Q43" s="50">
        <v>5535.945981150001</v>
      </c>
      <c r="R43" s="54">
        <v>198.51</v>
      </c>
      <c r="S43" s="64">
        <f>5482.55-4036.34</f>
        <v>1446.21</v>
      </c>
      <c r="T43" s="65"/>
      <c r="U43" s="65"/>
    </row>
    <row r="44" spans="2:21" ht="16.5">
      <c r="B44" s="91"/>
      <c r="C44" s="92" t="s">
        <v>77</v>
      </c>
      <c r="D44" s="93">
        <v>6691910</v>
      </c>
      <c r="E44" s="94">
        <v>6691910</v>
      </c>
      <c r="F44" s="93">
        <f>+D44</f>
        <v>6691910</v>
      </c>
      <c r="G44" s="94">
        <v>6691910</v>
      </c>
      <c r="H44" s="49"/>
      <c r="I44" s="49">
        <v>3.1724831590929123</v>
      </c>
      <c r="J44" s="93">
        <f>+F44</f>
        <v>6691910</v>
      </c>
      <c r="K44" s="94">
        <v>6691910</v>
      </c>
      <c r="L44" s="13"/>
      <c r="M44" s="87"/>
      <c r="N44" s="61"/>
      <c r="O44" s="62"/>
      <c r="P44" s="62"/>
      <c r="Q44" s="50"/>
      <c r="R44" s="54"/>
      <c r="S44" s="64"/>
      <c r="T44" s="65"/>
      <c r="U44" s="65"/>
    </row>
    <row r="45" spans="2:19" ht="16.5">
      <c r="B45" s="91"/>
      <c r="C45" s="92" t="s">
        <v>78</v>
      </c>
      <c r="D45" s="95">
        <v>0.2963</v>
      </c>
      <c r="E45" s="96">
        <v>0.2963</v>
      </c>
      <c r="F45" s="95">
        <f>+D45</f>
        <v>0.2963</v>
      </c>
      <c r="G45" s="96">
        <v>0.2963</v>
      </c>
      <c r="H45" s="96">
        <v>0.2975</v>
      </c>
      <c r="I45" s="96">
        <v>0.2975</v>
      </c>
      <c r="J45" s="95">
        <f>+F45</f>
        <v>0.2963</v>
      </c>
      <c r="K45" s="96">
        <v>0.2963</v>
      </c>
      <c r="L45" s="13"/>
      <c r="M45" s="87"/>
      <c r="N45" s="61"/>
      <c r="O45" s="62"/>
      <c r="P45" s="62"/>
      <c r="Q45" s="50"/>
      <c r="R45" s="54"/>
      <c r="S45" s="64"/>
    </row>
    <row r="46" spans="2:19" ht="16.5">
      <c r="B46" s="91">
        <v>21</v>
      </c>
      <c r="C46" s="92" t="s">
        <v>79</v>
      </c>
      <c r="D46" s="95"/>
      <c r="E46" s="96"/>
      <c r="F46" s="95"/>
      <c r="G46" s="96"/>
      <c r="H46" s="96"/>
      <c r="I46" s="96"/>
      <c r="J46" s="95"/>
      <c r="K46" s="96"/>
      <c r="L46" s="13"/>
      <c r="M46" s="87"/>
      <c r="N46" s="61"/>
      <c r="O46" s="62"/>
      <c r="P46" s="62"/>
      <c r="Q46" s="50"/>
      <c r="R46" s="54"/>
      <c r="S46" s="64"/>
    </row>
    <row r="47" spans="2:19" ht="16.5">
      <c r="B47" s="91"/>
      <c r="C47" s="97" t="s">
        <v>80</v>
      </c>
      <c r="D47" s="95"/>
      <c r="E47" s="96"/>
      <c r="F47" s="95"/>
      <c r="G47" s="96"/>
      <c r="H47" s="96"/>
      <c r="I47" s="96"/>
      <c r="J47" s="95"/>
      <c r="K47" s="96"/>
      <c r="L47" s="13"/>
      <c r="M47" s="87"/>
      <c r="N47" s="61"/>
      <c r="O47" s="62"/>
      <c r="P47" s="62"/>
      <c r="Q47" s="50"/>
      <c r="R47" s="54"/>
      <c r="S47" s="64"/>
    </row>
    <row r="48" spans="2:19" ht="16.5">
      <c r="B48" s="91"/>
      <c r="C48" s="92" t="s">
        <v>81</v>
      </c>
      <c r="D48" s="63">
        <v>0</v>
      </c>
      <c r="E48" s="62">
        <v>0</v>
      </c>
      <c r="F48" s="63">
        <v>0</v>
      </c>
      <c r="G48" s="62">
        <v>0</v>
      </c>
      <c r="H48" s="63">
        <v>0</v>
      </c>
      <c r="I48" s="63">
        <v>0</v>
      </c>
      <c r="J48" s="63">
        <v>0</v>
      </c>
      <c r="K48" s="62">
        <v>0</v>
      </c>
      <c r="L48" s="13"/>
      <c r="M48" s="87"/>
      <c r="N48" s="61"/>
      <c r="O48" s="62"/>
      <c r="P48" s="62"/>
      <c r="Q48" s="50"/>
      <c r="R48" s="54"/>
      <c r="S48" s="64"/>
    </row>
    <row r="49" spans="2:19" ht="16.5">
      <c r="B49" s="91"/>
      <c r="C49" s="92" t="s">
        <v>82</v>
      </c>
      <c r="D49" s="95"/>
      <c r="E49" s="96"/>
      <c r="F49" s="95"/>
      <c r="G49" s="96"/>
      <c r="H49" s="96"/>
      <c r="I49" s="96"/>
      <c r="J49" s="95"/>
      <c r="K49" s="96"/>
      <c r="L49" s="13"/>
      <c r="M49" s="87"/>
      <c r="N49" s="61"/>
      <c r="O49" s="62"/>
      <c r="P49" s="62"/>
      <c r="Q49" s="50"/>
      <c r="R49" s="54"/>
      <c r="S49" s="64"/>
    </row>
    <row r="50" spans="2:19" ht="16.5">
      <c r="B50" s="91"/>
      <c r="C50" s="92" t="s">
        <v>83</v>
      </c>
      <c r="D50" s="63">
        <v>0</v>
      </c>
      <c r="E50" s="62">
        <v>0</v>
      </c>
      <c r="F50" s="63">
        <v>0</v>
      </c>
      <c r="G50" s="62">
        <v>0</v>
      </c>
      <c r="H50" s="63">
        <v>0</v>
      </c>
      <c r="I50" s="63">
        <v>0</v>
      </c>
      <c r="J50" s="63">
        <v>0</v>
      </c>
      <c r="K50" s="62">
        <v>0</v>
      </c>
      <c r="L50" s="13"/>
      <c r="M50" s="87"/>
      <c r="N50" s="61"/>
      <c r="O50" s="62"/>
      <c r="P50" s="62"/>
      <c r="Q50" s="50"/>
      <c r="R50" s="54"/>
      <c r="S50" s="64"/>
    </row>
    <row r="51" spans="2:19" ht="16.5">
      <c r="B51" s="91"/>
      <c r="C51" s="92" t="s">
        <v>84</v>
      </c>
      <c r="D51" s="95"/>
      <c r="E51" s="96"/>
      <c r="F51" s="95"/>
      <c r="G51" s="96"/>
      <c r="H51" s="96"/>
      <c r="I51" s="96"/>
      <c r="J51" s="95"/>
      <c r="K51" s="96"/>
      <c r="L51" s="13"/>
      <c r="M51" s="87"/>
      <c r="N51" s="61"/>
      <c r="O51" s="62"/>
      <c r="P51" s="62"/>
      <c r="Q51" s="50"/>
      <c r="R51" s="54"/>
      <c r="S51" s="64"/>
    </row>
    <row r="52" spans="2:19" ht="16.5">
      <c r="B52" s="91"/>
      <c r="C52" s="92" t="s">
        <v>85</v>
      </c>
      <c r="D52" s="63">
        <v>0</v>
      </c>
      <c r="E52" s="62">
        <v>0</v>
      </c>
      <c r="F52" s="63">
        <v>0</v>
      </c>
      <c r="G52" s="62">
        <v>0</v>
      </c>
      <c r="H52" s="63">
        <v>0</v>
      </c>
      <c r="I52" s="63">
        <v>0</v>
      </c>
      <c r="J52" s="63">
        <v>0</v>
      </c>
      <c r="K52" s="62">
        <v>0</v>
      </c>
      <c r="L52" s="13"/>
      <c r="M52" s="87"/>
      <c r="N52" s="61"/>
      <c r="O52" s="62"/>
      <c r="P52" s="62"/>
      <c r="Q52" s="50"/>
      <c r="R52" s="54"/>
      <c r="S52" s="64"/>
    </row>
    <row r="53" spans="2:19" ht="16.5">
      <c r="B53" s="91"/>
      <c r="C53" s="97" t="s">
        <v>86</v>
      </c>
      <c r="D53" s="95"/>
      <c r="E53" s="96"/>
      <c r="F53" s="95"/>
      <c r="G53" s="96"/>
      <c r="H53" s="96"/>
      <c r="I53" s="96"/>
      <c r="J53" s="95"/>
      <c r="K53" s="96"/>
      <c r="L53" s="13"/>
      <c r="M53" s="87"/>
      <c r="N53" s="61"/>
      <c r="O53" s="62"/>
      <c r="P53" s="62"/>
      <c r="Q53" s="50"/>
      <c r="R53" s="54"/>
      <c r="S53" s="64"/>
    </row>
    <row r="54" spans="2:19" ht="16.5">
      <c r="B54" s="91"/>
      <c r="C54" s="92" t="s">
        <v>81</v>
      </c>
      <c r="D54" s="93">
        <v>15889290</v>
      </c>
      <c r="E54" s="94">
        <v>15889290</v>
      </c>
      <c r="F54" s="93">
        <v>15889290</v>
      </c>
      <c r="G54" s="94">
        <v>15889290</v>
      </c>
      <c r="H54" s="96"/>
      <c r="I54" s="96"/>
      <c r="J54" s="93">
        <v>15889290</v>
      </c>
      <c r="K54" s="94">
        <v>15889290</v>
      </c>
      <c r="L54" s="13"/>
      <c r="M54" s="87"/>
      <c r="N54" s="61"/>
      <c r="O54" s="62"/>
      <c r="P54" s="62"/>
      <c r="Q54" s="50"/>
      <c r="R54" s="54"/>
      <c r="S54" s="64"/>
    </row>
    <row r="55" spans="2:19" ht="16.5">
      <c r="B55" s="91"/>
      <c r="C55" s="92" t="s">
        <v>82</v>
      </c>
      <c r="D55" s="95"/>
      <c r="E55" s="96"/>
      <c r="F55" s="95"/>
      <c r="G55" s="96"/>
      <c r="H55" s="96"/>
      <c r="I55" s="96"/>
      <c r="J55" s="95"/>
      <c r="K55" s="96"/>
      <c r="L55" s="13"/>
      <c r="M55" s="87"/>
      <c r="N55" s="61"/>
      <c r="O55" s="62"/>
      <c r="P55" s="62"/>
      <c r="Q55" s="50"/>
      <c r="R55" s="54"/>
      <c r="S55" s="64"/>
    </row>
    <row r="56" spans="2:19" ht="16.5">
      <c r="B56" s="91"/>
      <c r="C56" s="92" t="s">
        <v>83</v>
      </c>
      <c r="D56" s="98">
        <v>1</v>
      </c>
      <c r="E56" s="99">
        <v>1</v>
      </c>
      <c r="F56" s="98">
        <v>1</v>
      </c>
      <c r="G56" s="99">
        <v>1</v>
      </c>
      <c r="H56" s="99"/>
      <c r="I56" s="99"/>
      <c r="J56" s="98">
        <v>1</v>
      </c>
      <c r="K56" s="99">
        <v>1</v>
      </c>
      <c r="L56" s="13"/>
      <c r="M56" s="87"/>
      <c r="N56" s="61"/>
      <c r="O56" s="62"/>
      <c r="P56" s="62"/>
      <c r="Q56" s="50"/>
      <c r="R56" s="54"/>
      <c r="S56" s="64"/>
    </row>
    <row r="57" spans="2:19" ht="16.5">
      <c r="B57" s="91"/>
      <c r="C57" s="92" t="s">
        <v>84</v>
      </c>
      <c r="D57" s="95"/>
      <c r="E57" s="96"/>
      <c r="F57" s="95"/>
      <c r="G57" s="96"/>
      <c r="H57" s="96"/>
      <c r="I57" s="96"/>
      <c r="J57" s="95"/>
      <c r="K57" s="96"/>
      <c r="L57" s="13"/>
      <c r="M57" s="87"/>
      <c r="N57" s="61"/>
      <c r="O57" s="62"/>
      <c r="P57" s="62"/>
      <c r="Q57" s="50"/>
      <c r="R57" s="54"/>
      <c r="S57" s="64"/>
    </row>
    <row r="58" spans="2:19" ht="16.5">
      <c r="B58" s="91"/>
      <c r="C58" s="92" t="s">
        <v>85</v>
      </c>
      <c r="D58" s="95">
        <v>0.7037</v>
      </c>
      <c r="E58" s="96">
        <v>0.7037</v>
      </c>
      <c r="F58" s="95">
        <v>0.7037</v>
      </c>
      <c r="G58" s="96">
        <v>0.7037</v>
      </c>
      <c r="H58" s="96"/>
      <c r="I58" s="96"/>
      <c r="J58" s="95">
        <v>0.7037</v>
      </c>
      <c r="K58" s="96">
        <v>0.7037</v>
      </c>
      <c r="L58" s="13"/>
      <c r="M58" s="87"/>
      <c r="N58" s="61"/>
      <c r="O58" s="62"/>
      <c r="P58" s="62"/>
      <c r="Q58" s="50"/>
      <c r="R58" s="54"/>
      <c r="S58" s="64"/>
    </row>
    <row r="59" spans="2:19" ht="16.5">
      <c r="B59" s="91"/>
      <c r="C59" s="92"/>
      <c r="D59" s="95"/>
      <c r="E59" s="96"/>
      <c r="F59" s="95"/>
      <c r="G59" s="96"/>
      <c r="H59" s="96"/>
      <c r="I59" s="96"/>
      <c r="J59" s="95"/>
      <c r="K59" s="96"/>
      <c r="L59" s="90"/>
      <c r="M59" s="87"/>
      <c r="N59" s="61"/>
      <c r="O59" s="100"/>
      <c r="P59" s="100"/>
      <c r="Q59" s="50"/>
      <c r="R59" s="54"/>
      <c r="S59" s="64"/>
    </row>
    <row r="60" spans="2:19" ht="15.75">
      <c r="B60" s="101"/>
      <c r="C60" s="102" t="s">
        <v>87</v>
      </c>
      <c r="D60" s="103"/>
      <c r="E60" s="104"/>
      <c r="F60" s="103"/>
      <c r="G60" s="104"/>
      <c r="H60" s="104"/>
      <c r="I60" s="104"/>
      <c r="J60" s="104"/>
      <c r="K60" s="103"/>
      <c r="L60" s="104"/>
      <c r="M60" s="103"/>
      <c r="N60" s="104"/>
      <c r="O60" s="79"/>
      <c r="P60" s="3"/>
      <c r="Q60" s="105"/>
      <c r="R60" s="106"/>
      <c r="S60" s="107"/>
    </row>
    <row r="61" spans="2:19" ht="15">
      <c r="B61" s="108">
        <v>1</v>
      </c>
      <c r="C61" s="210" t="s">
        <v>147</v>
      </c>
      <c r="D61" s="210"/>
      <c r="E61" s="210"/>
      <c r="F61" s="210"/>
      <c r="G61" s="210"/>
      <c r="H61" s="210"/>
      <c r="I61" s="210"/>
      <c r="J61" s="210"/>
      <c r="K61" s="210"/>
      <c r="L61" s="210"/>
      <c r="M61" s="210"/>
      <c r="N61" s="210"/>
      <c r="O61" s="210"/>
      <c r="P61" s="210"/>
      <c r="Q61" s="210"/>
      <c r="R61" s="210"/>
      <c r="S61" s="211"/>
    </row>
    <row r="62" spans="2:19" ht="15">
      <c r="B62" s="109">
        <v>2</v>
      </c>
      <c r="C62" s="206" t="s">
        <v>88</v>
      </c>
      <c r="D62" s="206"/>
      <c r="E62" s="206"/>
      <c r="F62" s="206"/>
      <c r="G62" s="206"/>
      <c r="H62" s="206"/>
      <c r="I62" s="206"/>
      <c r="J62" s="206"/>
      <c r="K62" s="206"/>
      <c r="L62" s="206"/>
      <c r="M62" s="206"/>
      <c r="N62" s="206"/>
      <c r="O62" s="206"/>
      <c r="P62" s="206"/>
      <c r="Q62" s="206"/>
      <c r="R62" s="206"/>
      <c r="S62" s="207"/>
    </row>
    <row r="63" spans="2:19" ht="15.75" customHeight="1">
      <c r="B63" s="109">
        <v>3</v>
      </c>
      <c r="C63" s="206" t="s">
        <v>89</v>
      </c>
      <c r="D63" s="206"/>
      <c r="E63" s="206"/>
      <c r="F63" s="206"/>
      <c r="G63" s="206"/>
      <c r="H63" s="206"/>
      <c r="I63" s="206"/>
      <c r="J63" s="206"/>
      <c r="K63" s="206"/>
      <c r="L63" s="206"/>
      <c r="M63" s="206"/>
      <c r="N63" s="206"/>
      <c r="O63" s="206"/>
      <c r="P63" s="206"/>
      <c r="Q63" s="206"/>
      <c r="R63" s="206"/>
      <c r="S63" s="207"/>
    </row>
    <row r="64" spans="2:19" ht="32.25" customHeight="1">
      <c r="B64" s="108">
        <v>4</v>
      </c>
      <c r="C64" s="212" t="s">
        <v>90</v>
      </c>
      <c r="D64" s="212"/>
      <c r="E64" s="212"/>
      <c r="F64" s="212"/>
      <c r="G64" s="212"/>
      <c r="H64" s="212"/>
      <c r="I64" s="212"/>
      <c r="J64" s="212"/>
      <c r="K64" s="212"/>
      <c r="L64" s="212"/>
      <c r="M64" s="212"/>
      <c r="N64" s="212"/>
      <c r="O64" s="212"/>
      <c r="P64" s="212"/>
      <c r="Q64" s="212"/>
      <c r="R64" s="212"/>
      <c r="S64" s="213"/>
    </row>
    <row r="65" spans="2:19" ht="15">
      <c r="B65" s="109">
        <v>5</v>
      </c>
      <c r="C65" s="212" t="s">
        <v>91</v>
      </c>
      <c r="D65" s="212"/>
      <c r="E65" s="212"/>
      <c r="F65" s="212"/>
      <c r="G65" s="212"/>
      <c r="H65" s="212"/>
      <c r="I65" s="212"/>
      <c r="J65" s="212"/>
      <c r="K65" s="212"/>
      <c r="L65" s="212"/>
      <c r="M65" s="212"/>
      <c r="N65" s="212"/>
      <c r="O65" s="212"/>
      <c r="P65" s="212"/>
      <c r="Q65" s="212"/>
      <c r="R65" s="212"/>
      <c r="S65" s="213"/>
    </row>
    <row r="66" spans="2:19" ht="15.75" customHeight="1">
      <c r="B66" s="109">
        <v>6</v>
      </c>
      <c r="C66" s="206" t="s">
        <v>92</v>
      </c>
      <c r="D66" s="206"/>
      <c r="E66" s="206"/>
      <c r="F66" s="206"/>
      <c r="G66" s="206"/>
      <c r="H66" s="206"/>
      <c r="I66" s="206"/>
      <c r="J66" s="206"/>
      <c r="K66" s="206"/>
      <c r="L66" s="206"/>
      <c r="M66" s="206"/>
      <c r="N66" s="206"/>
      <c r="O66" s="206"/>
      <c r="P66" s="206"/>
      <c r="Q66" s="206"/>
      <c r="R66" s="206"/>
      <c r="S66" s="207"/>
    </row>
    <row r="67" spans="2:19" ht="15.75" customHeight="1">
      <c r="B67" s="109">
        <v>7</v>
      </c>
      <c r="C67" s="206" t="s">
        <v>93</v>
      </c>
      <c r="D67" s="206"/>
      <c r="E67" s="206"/>
      <c r="F67" s="206"/>
      <c r="G67" s="206"/>
      <c r="H67" s="206"/>
      <c r="I67" s="206"/>
      <c r="J67" s="206"/>
      <c r="K67" s="206"/>
      <c r="L67" s="206"/>
      <c r="M67" s="206"/>
      <c r="N67" s="206"/>
      <c r="O67" s="206"/>
      <c r="P67" s="206"/>
      <c r="Q67" s="206"/>
      <c r="R67" s="206"/>
      <c r="S67" s="207"/>
    </row>
    <row r="68" spans="2:19" ht="15.75" customHeight="1">
      <c r="B68" s="109"/>
      <c r="C68" s="110"/>
      <c r="D68" s="110"/>
      <c r="E68" s="110"/>
      <c r="F68" s="110"/>
      <c r="G68" s="110"/>
      <c r="H68" s="110"/>
      <c r="I68" s="110"/>
      <c r="J68" s="110"/>
      <c r="K68" s="110"/>
      <c r="L68" s="110"/>
      <c r="M68" s="110"/>
      <c r="N68" s="110"/>
      <c r="O68" s="189" t="s">
        <v>145</v>
      </c>
      <c r="P68" s="189"/>
      <c r="Q68" s="189"/>
      <c r="R68" s="189"/>
      <c r="S68" s="190"/>
    </row>
    <row r="69" spans="2:19" ht="15.75" customHeight="1">
      <c r="B69" s="109"/>
      <c r="C69" s="110"/>
      <c r="D69" s="110"/>
      <c r="E69" s="110"/>
      <c r="F69" s="110"/>
      <c r="G69" s="110"/>
      <c r="H69" s="110"/>
      <c r="I69" s="110"/>
      <c r="J69" s="110"/>
      <c r="K69" s="110"/>
      <c r="L69" s="110"/>
      <c r="M69" s="110"/>
      <c r="N69" s="110"/>
      <c r="O69" s="191" t="s">
        <v>146</v>
      </c>
      <c r="P69" s="191"/>
      <c r="Q69" s="191"/>
      <c r="R69" s="191"/>
      <c r="S69" s="192"/>
    </row>
    <row r="70" spans="2:19" ht="15.75">
      <c r="B70" s="111"/>
      <c r="C70" s="110"/>
      <c r="D70" s="75"/>
      <c r="E70" s="72"/>
      <c r="F70" s="75"/>
      <c r="G70" s="72"/>
      <c r="H70" s="72"/>
      <c r="I70" s="72"/>
      <c r="J70" s="72"/>
      <c r="K70" s="75"/>
      <c r="L70" s="72"/>
      <c r="M70" s="75"/>
      <c r="N70" s="72"/>
      <c r="O70" s="75"/>
      <c r="P70" s="3"/>
      <c r="Q70" s="14"/>
      <c r="R70" s="14"/>
      <c r="S70" s="12"/>
    </row>
    <row r="71" spans="2:19" ht="15">
      <c r="B71" s="112"/>
      <c r="C71" s="72"/>
      <c r="D71" s="113"/>
      <c r="E71" s="72"/>
      <c r="F71" s="75"/>
      <c r="G71" s="72"/>
      <c r="H71" s="114"/>
      <c r="I71" s="72"/>
      <c r="J71" s="72"/>
      <c r="K71" s="75"/>
      <c r="L71" s="72"/>
      <c r="M71" s="75"/>
      <c r="N71" s="72"/>
      <c r="O71" s="75"/>
      <c r="P71" s="204"/>
      <c r="Q71" s="204"/>
      <c r="R71" s="204"/>
      <c r="S71" s="205"/>
    </row>
    <row r="72" spans="2:19" ht="15.75" customHeight="1">
      <c r="B72" s="115" t="s">
        <v>94</v>
      </c>
      <c r="C72" s="116" t="s">
        <v>95</v>
      </c>
      <c r="D72" s="75"/>
      <c r="E72" s="72"/>
      <c r="F72" s="75"/>
      <c r="G72" s="72"/>
      <c r="H72" s="117"/>
      <c r="I72" s="72"/>
      <c r="J72" s="72"/>
      <c r="K72" s="118"/>
      <c r="L72" s="118"/>
      <c r="M72" s="118"/>
      <c r="N72" s="118"/>
      <c r="O72" s="189" t="s">
        <v>96</v>
      </c>
      <c r="P72" s="189"/>
      <c r="Q72" s="189"/>
      <c r="R72" s="189"/>
      <c r="S72" s="190"/>
    </row>
    <row r="73" spans="2:19" ht="15.75" customHeight="1">
      <c r="B73" s="120" t="s">
        <v>97</v>
      </c>
      <c r="C73" s="121" t="s">
        <v>98</v>
      </c>
      <c r="D73" s="121"/>
      <c r="E73" s="122"/>
      <c r="F73" s="121"/>
      <c r="G73" s="122"/>
      <c r="H73" s="123"/>
      <c r="I73" s="122"/>
      <c r="J73" s="122"/>
      <c r="K73" s="124"/>
      <c r="L73" s="124"/>
      <c r="M73" s="124"/>
      <c r="N73" s="124"/>
      <c r="O73" s="208" t="s">
        <v>99</v>
      </c>
      <c r="P73" s="208"/>
      <c r="Q73" s="208"/>
      <c r="R73" s="208"/>
      <c r="S73" s="209"/>
    </row>
    <row r="74" ht="15">
      <c r="R74" s="3"/>
    </row>
  </sheetData>
  <sheetProtection/>
  <mergeCells count="18">
    <mergeCell ref="P71:S71"/>
    <mergeCell ref="O72:S72"/>
    <mergeCell ref="O73:S73"/>
    <mergeCell ref="C61:S61"/>
    <mergeCell ref="C62:S62"/>
    <mergeCell ref="C63:S63"/>
    <mergeCell ref="C64:S64"/>
    <mergeCell ref="C65:S65"/>
    <mergeCell ref="C66:S66"/>
    <mergeCell ref="O68:S68"/>
    <mergeCell ref="O69:S69"/>
    <mergeCell ref="B2:L2"/>
    <mergeCell ref="B3:L3"/>
    <mergeCell ref="B5:K5"/>
    <mergeCell ref="M5:S5"/>
    <mergeCell ref="R6:S6"/>
    <mergeCell ref="R7:S7"/>
    <mergeCell ref="C67:S67"/>
  </mergeCells>
  <printOptions gridLines="1"/>
  <pageMargins left="0.03" right="0.2" top="0.51" bottom="0.66" header="0.48" footer="0.5"/>
  <pageSetup fitToHeight="1" fitToWidth="1" horizontalDpi="600" verticalDpi="600" orientation="landscape" scale="45" r:id="rId1"/>
</worksheet>
</file>

<file path=xl/worksheets/sheet2.xml><?xml version="1.0" encoding="utf-8"?>
<worksheet xmlns="http://schemas.openxmlformats.org/spreadsheetml/2006/main" xmlns:r="http://schemas.openxmlformats.org/officeDocument/2006/relationships">
  <sheetPr>
    <pageSetUpPr fitToPage="1"/>
  </sheetPr>
  <dimension ref="A1:H42"/>
  <sheetViews>
    <sheetView zoomScaleSheetLayoutView="100" zoomScalePageLayoutView="0" workbookViewId="0" topLeftCell="A10">
      <selection activeCell="D13" sqref="D13"/>
    </sheetView>
  </sheetViews>
  <sheetFormatPr defaultColWidth="9.140625" defaultRowHeight="12.75"/>
  <cols>
    <col min="1" max="1" width="6.140625" style="177" customWidth="1"/>
    <col min="2" max="2" width="4.8515625" style="177" customWidth="1"/>
    <col min="3" max="3" width="47.8515625" style="177" customWidth="1"/>
    <col min="4" max="4" width="15.8515625" style="177" customWidth="1"/>
    <col min="5" max="5" width="16.140625" style="177" customWidth="1"/>
    <col min="6" max="6" width="18.8515625" style="177" bestFit="1" customWidth="1"/>
    <col min="7" max="7" width="9.140625" style="126" customWidth="1"/>
    <col min="8" max="8" width="14.57421875" style="177" bestFit="1" customWidth="1"/>
    <col min="9" max="16384" width="9.140625" style="177" customWidth="1"/>
  </cols>
  <sheetData>
    <row r="1" spans="1:6" ht="18.75">
      <c r="A1" s="214" t="s">
        <v>100</v>
      </c>
      <c r="B1" s="215"/>
      <c r="C1" s="215"/>
      <c r="D1" s="215"/>
      <c r="E1" s="215"/>
      <c r="F1" s="216"/>
    </row>
    <row r="2" spans="1:6" ht="15">
      <c r="A2" s="127"/>
      <c r="B2" s="72"/>
      <c r="C2" s="72"/>
      <c r="D2" s="75"/>
      <c r="E2" s="72"/>
      <c r="F2" s="128"/>
    </row>
    <row r="3" spans="1:6" ht="15">
      <c r="A3" s="217" t="s">
        <v>101</v>
      </c>
      <c r="B3" s="189"/>
      <c r="C3" s="189"/>
      <c r="D3" s="189"/>
      <c r="E3" s="189"/>
      <c r="F3" s="218"/>
    </row>
    <row r="4" spans="1:6" ht="15">
      <c r="A4" s="129"/>
      <c r="B4" s="75"/>
      <c r="C4" s="114"/>
      <c r="D4" s="130"/>
      <c r="E4" s="125"/>
      <c r="F4" s="131" t="s">
        <v>102</v>
      </c>
    </row>
    <row r="5" spans="1:6" ht="15" customHeight="1">
      <c r="A5" s="132"/>
      <c r="B5" s="133"/>
      <c r="C5" s="134"/>
      <c r="D5" s="219" t="s">
        <v>103</v>
      </c>
      <c r="E5" s="220"/>
      <c r="F5" s="135" t="s">
        <v>104</v>
      </c>
    </row>
    <row r="6" spans="1:6" ht="16.5" customHeight="1">
      <c r="A6" s="136" t="s">
        <v>23</v>
      </c>
      <c r="B6" s="137"/>
      <c r="C6" s="138" t="s">
        <v>22</v>
      </c>
      <c r="D6" s="139" t="s">
        <v>105</v>
      </c>
      <c r="E6" s="140" t="s">
        <v>105</v>
      </c>
      <c r="F6" s="141" t="s">
        <v>105</v>
      </c>
    </row>
    <row r="7" spans="1:6" ht="15" customHeight="1">
      <c r="A7" s="136"/>
      <c r="B7" s="137"/>
      <c r="C7" s="138"/>
      <c r="D7" s="119">
        <v>2011</v>
      </c>
      <c r="E7" s="142">
        <v>2010</v>
      </c>
      <c r="F7" s="143">
        <v>2011</v>
      </c>
    </row>
    <row r="8" spans="1:6" ht="15">
      <c r="A8" s="144"/>
      <c r="B8" s="145"/>
      <c r="C8" s="146"/>
      <c r="D8" s="147" t="s">
        <v>28</v>
      </c>
      <c r="E8" s="148" t="s">
        <v>28</v>
      </c>
      <c r="F8" s="149" t="s">
        <v>28</v>
      </c>
    </row>
    <row r="9" spans="1:6" ht="15">
      <c r="A9" s="150" t="s">
        <v>106</v>
      </c>
      <c r="B9" s="151" t="s">
        <v>107</v>
      </c>
      <c r="C9" s="126"/>
      <c r="D9" s="152"/>
      <c r="E9" s="153"/>
      <c r="F9" s="154"/>
    </row>
    <row r="10" spans="1:6" ht="15">
      <c r="A10" s="155" t="s">
        <v>108</v>
      </c>
      <c r="B10" s="156" t="s">
        <v>109</v>
      </c>
      <c r="C10" s="126"/>
      <c r="D10" s="157"/>
      <c r="E10" s="152"/>
      <c r="F10" s="158"/>
    </row>
    <row r="11" spans="1:6" ht="15">
      <c r="A11" s="159"/>
      <c r="B11" s="160" t="s">
        <v>110</v>
      </c>
      <c r="C11" s="126" t="s">
        <v>111</v>
      </c>
      <c r="D11" s="161">
        <f>'[1]BS'!F10/100000</f>
        <v>1129.175</v>
      </c>
      <c r="E11" s="162">
        <v>1129.175</v>
      </c>
      <c r="F11" s="163">
        <f>'[1]Consolidated'!K47+'[1]Consolidated'!K48</f>
        <v>1129.175</v>
      </c>
    </row>
    <row r="12" spans="1:6" ht="15">
      <c r="A12" s="164"/>
      <c r="B12" s="160" t="s">
        <v>112</v>
      </c>
      <c r="C12" s="126" t="s">
        <v>113</v>
      </c>
      <c r="D12" s="161">
        <f>'[1]BS'!F11/100000</f>
        <v>8488.9548122352</v>
      </c>
      <c r="E12" s="162">
        <v>9105.28</v>
      </c>
      <c r="F12" s="163">
        <f>SUM('[1]Consolidated'!K51:K53)</f>
        <v>3769.1800445516355</v>
      </c>
    </row>
    <row r="13" spans="1:6" ht="15">
      <c r="A13" s="164"/>
      <c r="B13" s="160" t="s">
        <v>114</v>
      </c>
      <c r="C13" s="126" t="s">
        <v>115</v>
      </c>
      <c r="D13" s="161">
        <v>0</v>
      </c>
      <c r="E13" s="162">
        <v>0</v>
      </c>
      <c r="F13" s="163">
        <f>'[1]Consolidated'!K55</f>
        <v>0.08851</v>
      </c>
    </row>
    <row r="14" spans="1:6" ht="15">
      <c r="A14" s="155" t="s">
        <v>116</v>
      </c>
      <c r="B14" s="126" t="s">
        <v>117</v>
      </c>
      <c r="C14" s="126"/>
      <c r="D14" s="157"/>
      <c r="E14" s="152"/>
      <c r="F14" s="158"/>
    </row>
    <row r="15" spans="1:6" ht="15">
      <c r="A15" s="155"/>
      <c r="B15" s="160" t="s">
        <v>110</v>
      </c>
      <c r="C15" s="126" t="s">
        <v>118</v>
      </c>
      <c r="D15" s="157">
        <f>'[1]BS'!F14/100000</f>
        <v>6294.69737</v>
      </c>
      <c r="E15" s="152">
        <v>4900.87</v>
      </c>
      <c r="F15" s="158">
        <f>'[1]Consolidated'!K58</f>
        <v>6945.1036913</v>
      </c>
    </row>
    <row r="16" spans="1:6" ht="15">
      <c r="A16" s="155"/>
      <c r="B16" s="160" t="s">
        <v>112</v>
      </c>
      <c r="C16" s="126" t="s">
        <v>119</v>
      </c>
      <c r="D16" s="157">
        <v>0</v>
      </c>
      <c r="E16" s="152">
        <v>200</v>
      </c>
      <c r="F16" s="158">
        <f>'[1]Consolidated'!K59</f>
        <v>0</v>
      </c>
    </row>
    <row r="17" spans="1:6" ht="15">
      <c r="A17" s="155" t="s">
        <v>120</v>
      </c>
      <c r="B17" s="126" t="s">
        <v>121</v>
      </c>
      <c r="C17" s="126"/>
      <c r="D17" s="157">
        <v>0</v>
      </c>
      <c r="E17" s="152">
        <v>95.02</v>
      </c>
      <c r="F17" s="158">
        <f>'[1]Consolidated'!K74</f>
        <v>0</v>
      </c>
    </row>
    <row r="18" spans="1:6" ht="15">
      <c r="A18" s="155"/>
      <c r="B18" s="126"/>
      <c r="C18" s="126"/>
      <c r="D18" s="157"/>
      <c r="E18" s="152"/>
      <c r="F18" s="158"/>
    </row>
    <row r="19" spans="1:6" ht="15.75" thickBot="1">
      <c r="A19" s="155" t="s">
        <v>122</v>
      </c>
      <c r="B19" s="151" t="s">
        <v>123</v>
      </c>
      <c r="C19" s="126"/>
      <c r="D19" s="165">
        <f>SUM(D11:D17)</f>
        <v>15912.8271822352</v>
      </c>
      <c r="E19" s="166">
        <f>SUM(E11:E17)</f>
        <v>15430.345000000001</v>
      </c>
      <c r="F19" s="167">
        <f>SUM(F11:F17)</f>
        <v>11843.547245851634</v>
      </c>
    </row>
    <row r="20" spans="1:6" ht="15">
      <c r="A20" s="164"/>
      <c r="B20" s="126"/>
      <c r="C20" s="126"/>
      <c r="D20" s="157"/>
      <c r="E20" s="152"/>
      <c r="F20" s="158"/>
    </row>
    <row r="21" spans="1:6" ht="15">
      <c r="A21" s="150" t="s">
        <v>124</v>
      </c>
      <c r="B21" s="151" t="s">
        <v>125</v>
      </c>
      <c r="C21" s="126"/>
      <c r="D21" s="157"/>
      <c r="E21" s="152"/>
      <c r="F21" s="158"/>
    </row>
    <row r="22" spans="1:6" ht="15">
      <c r="A22" s="155" t="s">
        <v>108</v>
      </c>
      <c r="B22" s="126" t="s">
        <v>126</v>
      </c>
      <c r="C22" s="126"/>
      <c r="D22" s="157">
        <f>'[1]BS'!F25/100000</f>
        <v>5909.428095093541</v>
      </c>
      <c r="E22" s="152">
        <v>3959.08</v>
      </c>
      <c r="F22" s="158">
        <f>'[1]Consolidated'!K68</f>
        <v>9663.534043812751</v>
      </c>
    </row>
    <row r="23" spans="1:6" ht="15">
      <c r="A23" s="155" t="s">
        <v>116</v>
      </c>
      <c r="B23" s="126" t="s">
        <v>127</v>
      </c>
      <c r="C23" s="126"/>
      <c r="D23" s="157">
        <f>'[1]BS'!F27/100000</f>
        <v>7318.21204</v>
      </c>
      <c r="E23" s="162">
        <v>3970.66</v>
      </c>
      <c r="F23" s="158">
        <f>'[1]Consolidated'!K72</f>
        <v>3582.31104</v>
      </c>
    </row>
    <row r="24" spans="1:6" ht="15">
      <c r="A24" s="155" t="s">
        <v>120</v>
      </c>
      <c r="B24" s="126" t="s">
        <v>128</v>
      </c>
      <c r="C24" s="126"/>
      <c r="D24" s="157"/>
      <c r="E24" s="168"/>
      <c r="F24" s="169"/>
    </row>
    <row r="25" spans="1:6" ht="15">
      <c r="A25" s="155"/>
      <c r="B25" s="160" t="s">
        <v>110</v>
      </c>
      <c r="C25" s="126" t="s">
        <v>129</v>
      </c>
      <c r="D25" s="157">
        <v>0</v>
      </c>
      <c r="E25" s="168">
        <v>0</v>
      </c>
      <c r="F25" s="169">
        <v>0</v>
      </c>
    </row>
    <row r="26" spans="1:6" ht="15">
      <c r="A26" s="155"/>
      <c r="B26" s="160" t="s">
        <v>112</v>
      </c>
      <c r="C26" s="126" t="s">
        <v>130</v>
      </c>
      <c r="D26" s="170">
        <f>'[1]BS'!F33/100000</f>
        <v>2505.7299967999998</v>
      </c>
      <c r="E26" s="168">
        <v>2128.53</v>
      </c>
      <c r="F26" s="169">
        <f>'[1]Consolidated'!K79</f>
        <v>2615.3764671</v>
      </c>
    </row>
    <row r="27" spans="1:6" ht="15">
      <c r="A27" s="164"/>
      <c r="B27" s="160" t="s">
        <v>114</v>
      </c>
      <c r="C27" s="126" t="s">
        <v>131</v>
      </c>
      <c r="D27" s="170">
        <f>'[1]BS'!F34/100000</f>
        <v>375.3944392</v>
      </c>
      <c r="E27" s="168">
        <v>418.9</v>
      </c>
      <c r="F27" s="169">
        <f>'[1]Consolidated'!K80</f>
        <v>392.4523345</v>
      </c>
    </row>
    <row r="28" spans="1:6" ht="15">
      <c r="A28" s="164"/>
      <c r="B28" s="160" t="s">
        <v>132</v>
      </c>
      <c r="C28" s="126" t="s">
        <v>133</v>
      </c>
      <c r="D28" s="170">
        <f>('[1]BS Chart'!T47)/100000</f>
        <v>476.16939</v>
      </c>
      <c r="E28" s="168">
        <f>47537939/100000</f>
        <v>475.37939</v>
      </c>
      <c r="F28" s="169">
        <f>'[1]Consolidated'!K81</f>
        <v>517.8816</v>
      </c>
    </row>
    <row r="29" spans="1:6" ht="15">
      <c r="A29" s="155"/>
      <c r="B29" s="160" t="s">
        <v>134</v>
      </c>
      <c r="C29" s="126" t="s">
        <v>135</v>
      </c>
      <c r="D29" s="171">
        <f>'[1]BS'!F35/100000-D28+0.01</f>
        <v>6003.301591883334</v>
      </c>
      <c r="E29" s="172">
        <f>9068.98-E28</f>
        <v>8593.60061</v>
      </c>
      <c r="F29" s="173">
        <f>'[1]Consolidated'!K82-0.01</f>
        <v>2654.5006297833334</v>
      </c>
    </row>
    <row r="30" spans="1:6" ht="15">
      <c r="A30" s="164"/>
      <c r="B30" s="160"/>
      <c r="C30" s="126" t="s">
        <v>40</v>
      </c>
      <c r="D30" s="157">
        <f>SUM(D25:D29)-0.01</f>
        <v>9360.585417883334</v>
      </c>
      <c r="E30" s="152">
        <f>SUM(E25:E29)</f>
        <v>11616.41</v>
      </c>
      <c r="F30" s="158">
        <f>SUM(F25:F29)</f>
        <v>6180.211031383333</v>
      </c>
    </row>
    <row r="31" spans="1:6" ht="15">
      <c r="A31" s="155" t="s">
        <v>122</v>
      </c>
      <c r="B31" s="126" t="s">
        <v>136</v>
      </c>
      <c r="C31" s="126"/>
      <c r="D31" s="157"/>
      <c r="E31" s="152"/>
      <c r="F31" s="158"/>
    </row>
    <row r="32" spans="1:6" ht="15">
      <c r="A32" s="164"/>
      <c r="B32" s="160" t="s">
        <v>110</v>
      </c>
      <c r="C32" s="126" t="s">
        <v>137</v>
      </c>
      <c r="D32" s="157">
        <f>'[1]BS'!F37/100000-D33</f>
        <v>5103.10543406475</v>
      </c>
      <c r="E32" s="152">
        <v>2798.92</v>
      </c>
      <c r="F32" s="158">
        <f>'[1]Consolidated'!K86</f>
        <v>5974.767404064751</v>
      </c>
    </row>
    <row r="33" spans="1:8" ht="15">
      <c r="A33" s="164"/>
      <c r="B33" s="160" t="s">
        <v>112</v>
      </c>
      <c r="C33" s="126" t="s">
        <v>138</v>
      </c>
      <c r="D33" s="174">
        <f>'[1]BS Chart'!T24/100000</f>
        <v>1572.2929030769233</v>
      </c>
      <c r="E33" s="175">
        <v>1316.88</v>
      </c>
      <c r="F33" s="158">
        <f>'[1]Consolidated'!K87</f>
        <v>1607.7514330769231</v>
      </c>
      <c r="H33" s="176"/>
    </row>
    <row r="34" spans="1:6" ht="15">
      <c r="A34" s="164"/>
      <c r="B34" s="160"/>
      <c r="C34" s="126"/>
      <c r="D34" s="157">
        <f>SUM(D32:D33)</f>
        <v>6675.3983371416725</v>
      </c>
      <c r="E34" s="178">
        <f>SUM(E32:E33)</f>
        <v>4115.8</v>
      </c>
      <c r="F34" s="179">
        <f>SUM(F32:F33)</f>
        <v>7582.518837141673</v>
      </c>
    </row>
    <row r="35" spans="1:8" ht="15">
      <c r="A35" s="164"/>
      <c r="B35" s="126" t="s">
        <v>139</v>
      </c>
      <c r="C35" s="126"/>
      <c r="D35" s="180">
        <f>D30-D34</f>
        <v>2685.1870807416617</v>
      </c>
      <c r="E35" s="178">
        <f>E30-E34</f>
        <v>7500.61</v>
      </c>
      <c r="F35" s="179">
        <f>F30-F34+0.01</f>
        <v>-1402.2978057583407</v>
      </c>
      <c r="H35" s="176"/>
    </row>
    <row r="36" spans="1:6" ht="15">
      <c r="A36" s="155" t="s">
        <v>140</v>
      </c>
      <c r="B36" s="126" t="s">
        <v>141</v>
      </c>
      <c r="C36" s="126"/>
      <c r="D36" s="181">
        <v>0</v>
      </c>
      <c r="E36" s="182">
        <v>0</v>
      </c>
      <c r="F36" s="158">
        <v>0</v>
      </c>
    </row>
    <row r="37" spans="1:6" ht="15">
      <c r="A37" s="155" t="s">
        <v>142</v>
      </c>
      <c r="B37" s="126" t="s">
        <v>143</v>
      </c>
      <c r="C37" s="126"/>
      <c r="D37" s="157">
        <v>0</v>
      </c>
      <c r="E37" s="182">
        <v>0</v>
      </c>
      <c r="F37" s="158">
        <f>'[1]Consolidated'!K93</f>
        <v>0</v>
      </c>
    </row>
    <row r="38" spans="1:6" ht="15">
      <c r="A38" s="155" t="s">
        <v>144</v>
      </c>
      <c r="B38" s="151" t="s">
        <v>123</v>
      </c>
      <c r="C38" s="126"/>
      <c r="D38" s="157">
        <f>D22+D23+D35+D36+D37</f>
        <v>15912.827215835203</v>
      </c>
      <c r="E38" s="152">
        <f>E22+E23+E35+E36+E37</f>
        <v>15430.349999999999</v>
      </c>
      <c r="F38" s="183">
        <f>F22+F23+F35+F36+F37</f>
        <v>11843.547278054411</v>
      </c>
    </row>
    <row r="39" spans="1:6" ht="15.75" thickBot="1">
      <c r="A39" s="184"/>
      <c r="B39" s="185"/>
      <c r="C39" s="185"/>
      <c r="D39" s="186"/>
      <c r="E39" s="187"/>
      <c r="F39" s="188"/>
    </row>
    <row r="41" spans="4:6" ht="15">
      <c r="D41" s="176"/>
      <c r="E41" s="176"/>
      <c r="F41" s="176"/>
    </row>
    <row r="42" spans="4:6" ht="15">
      <c r="D42" s="176"/>
      <c r="E42" s="176"/>
      <c r="F42" s="176"/>
    </row>
  </sheetData>
  <sheetProtection/>
  <mergeCells count="3">
    <mergeCell ref="A1:F1"/>
    <mergeCell ref="A3:F3"/>
    <mergeCell ref="D5:E5"/>
  </mergeCells>
  <printOptions gridLines="1"/>
  <pageMargins left="0.7" right="0.7" top="0.75" bottom="0.75" header="0.3" footer="0.3"/>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dc:creator>
  <cp:keywords/>
  <dc:description/>
  <cp:lastModifiedBy>prem</cp:lastModifiedBy>
  <cp:lastPrinted>2011-05-27T13:38:28Z</cp:lastPrinted>
  <dcterms:created xsi:type="dcterms:W3CDTF">2011-05-27T13:15:57Z</dcterms:created>
  <dcterms:modified xsi:type="dcterms:W3CDTF">2011-05-27T13:42:28Z</dcterms:modified>
  <cp:category/>
  <cp:version/>
  <cp:contentType/>
  <cp:contentStatus/>
</cp:coreProperties>
</file>